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pivotTables/pivotTable1.xml" ContentType="application/vnd.openxmlformats-officedocument.spreadsheetml.pivotTable+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251" documentId="8_{09A0E2B1-6B36-41EE-9020-A7FE5AC4E4C3}" xr6:coauthVersionLast="47" xr6:coauthVersionMax="47" xr10:uidLastSave="{51351EEB-EA7B-449B-B2E1-6CD236C100D3}"/>
  <bookViews>
    <workbookView xWindow="-108" yWindow="-108" windowWidth="23256" windowHeight="12720" tabRatio="853" xr2:uid="{00000000-000D-0000-FFFF-FFFF00000000}"/>
  </bookViews>
  <sheets>
    <sheet name="YTD BUDGET SUMMARY" sheetId="1" r:id="rId1"/>
    <sheet name="MONTHLY EXPENSES SUMMARY" sheetId="2" r:id="rId2"/>
    <sheet name="ITEMIZED Transactions" sheetId="3" r:id="rId3"/>
    <sheet name="Sheet2" sheetId="6" r:id="rId4"/>
    <sheet name="Sheet1" sheetId="5" r:id="rId5"/>
    <sheet name="CHARITABLES &amp; SPONSORSHIPS" sheetId="4" r:id="rId6"/>
  </sheets>
  <externalReferences>
    <externalReference r:id="rId7"/>
  </externalReferences>
  <definedNames>
    <definedName name="_YEAR">'YTD BUDGET SUMMARY'!$G$2</definedName>
    <definedName name="_xlnm.Print_Titles" localSheetId="5">'CHARITABLES &amp; SPONSORSHIPS'!$4:$4</definedName>
    <definedName name="_xlnm.Print_Titles" localSheetId="2">'ITEMIZED Transactions'!$4:$4</definedName>
    <definedName name="_xlnm.Print_Titles" localSheetId="1">'MONTHLY EXPENSES SUMMARY'!$5:$5</definedName>
    <definedName name="_xlnm.Print_Titles" localSheetId="0">'YTD BUDGET SUMMARY'!$3:$3</definedName>
    <definedName name="RowTitleRegion1..G2">'YTD BUDGET SUMMARY'!$F$2</definedName>
    <definedName name="Slicer_Account_Title">#N/A</definedName>
    <definedName name="Slicer_Payee">#N/A</definedName>
    <definedName name="Slicer_Payee1">#N/A</definedName>
    <definedName name="Slicer_Requested_by">#N/A</definedName>
    <definedName name="Slicer_Requested_by1">#N/A</definedName>
    <definedName name="Title1">YearToDateTable[[#Headers],[G/L Code]]</definedName>
    <definedName name="Title2">MonthlyExpensesSummary[[#Headers],[G/L Code]]</definedName>
    <definedName name="Title3">ItemizedExpenses[[#Headers],[G/L Code]]</definedName>
    <definedName name="Title4">Other[[#Headers],[G/L Code]]</definedName>
  </definedNames>
  <calcPr calcId="191029"/>
  <pivotCaches>
    <pivotCache cacheId="7" r:id="rId8"/>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9"/>
        <x14:slicerCache r:id="rId10"/>
        <x14:slicerCache r:id="rId11"/>
        <x14:slicerCache r:id="rId12"/>
        <x14:slicerCache r:id="rId13"/>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3" l="1"/>
  <c r="J24" i="3"/>
  <c r="J23" i="3" l="1"/>
  <c r="J22" i="3"/>
  <c r="J20" i="3"/>
  <c r="J21" i="3" s="1"/>
  <c r="J19" i="3"/>
  <c r="J18" i="3"/>
  <c r="J17" i="3"/>
  <c r="J16" i="3"/>
  <c r="J15" i="3"/>
  <c r="J14" i="3"/>
  <c r="J13" i="3"/>
  <c r="J7" i="3"/>
  <c r="J8" i="3" s="1"/>
  <c r="J9" i="3" s="1"/>
  <c r="J10" i="3" s="1"/>
  <c r="J11" i="3" s="1"/>
  <c r="J12" i="3" s="1"/>
  <c r="J6" i="3"/>
  <c r="F11" i="1" l="1"/>
  <c r="G11" i="1" s="1"/>
  <c r="F25" i="1"/>
  <c r="G25" i="1" s="1"/>
  <c r="F35" i="1"/>
  <c r="G35" i="1" s="1"/>
  <c r="E40" i="1" l="1"/>
  <c r="N3" i="2"/>
  <c r="L3" i="2" l="1"/>
  <c r="J3" i="2"/>
  <c r="F3" i="2"/>
  <c r="D3" i="2"/>
  <c r="E3" i="2"/>
  <c r="G3" i="2"/>
  <c r="M3" i="2"/>
  <c r="I3" i="2"/>
  <c r="H3" i="2"/>
  <c r="K3" i="2"/>
  <c r="N4" i="2"/>
  <c r="N25" i="2" s="1"/>
  <c r="O3" i="2"/>
  <c r="N21" i="2" l="1"/>
  <c r="N22" i="2"/>
  <c r="N23" i="2"/>
  <c r="N24" i="2"/>
  <c r="N40" i="2"/>
  <c r="N39" i="2"/>
  <c r="N38" i="2"/>
  <c r="N35" i="2"/>
  <c r="N29" i="2"/>
  <c r="N30" i="2"/>
  <c r="N31" i="2"/>
  <c r="N32" i="2"/>
  <c r="N14" i="2"/>
  <c r="N8" i="2"/>
  <c r="N9" i="2"/>
  <c r="N10" i="2"/>
  <c r="N11" i="2"/>
  <c r="N13" i="2"/>
  <c r="N12" i="2"/>
  <c r="N16" i="2"/>
  <c r="N15" i="2"/>
  <c r="N18" i="2"/>
  <c r="N17" i="2"/>
  <c r="N19" i="2"/>
  <c r="N20" i="2"/>
  <c r="N41" i="2"/>
  <c r="M4" i="2"/>
  <c r="M34" i="2" s="1"/>
  <c r="G4" i="2"/>
  <c r="G42" i="2" s="1"/>
  <c r="E4" i="2"/>
  <c r="E28" i="2" s="1"/>
  <c r="D4" i="2"/>
  <c r="D42" i="2" s="1"/>
  <c r="F4" i="2"/>
  <c r="F6" i="2" s="1"/>
  <c r="J4" i="2"/>
  <c r="J33" i="2" s="1"/>
  <c r="L4" i="2"/>
  <c r="L28" i="2" s="1"/>
  <c r="H4" i="2"/>
  <c r="H36" i="2" s="1"/>
  <c r="N42" i="2"/>
  <c r="I4" i="2"/>
  <c r="I27" i="2" s="1"/>
  <c r="K4" i="2"/>
  <c r="N27" i="2"/>
  <c r="N33" i="2"/>
  <c r="N37" i="2"/>
  <c r="N6" i="2"/>
  <c r="N7" i="2"/>
  <c r="N34" i="2"/>
  <c r="O4" i="2"/>
  <c r="O7" i="2" s="1"/>
  <c r="N36" i="2"/>
  <c r="N26" i="2"/>
  <c r="N28" i="2"/>
  <c r="F21" i="2" l="1"/>
  <c r="D21" i="2"/>
  <c r="M21" i="2"/>
  <c r="K21" i="2"/>
  <c r="I21" i="2"/>
  <c r="L21" i="2"/>
  <c r="J21" i="2"/>
  <c r="H21" i="2"/>
  <c r="J22" i="2"/>
  <c r="O21" i="2"/>
  <c r="E21" i="2"/>
  <c r="G21" i="2"/>
  <c r="H22" i="2"/>
  <c r="D22" i="2"/>
  <c r="M22" i="2"/>
  <c r="G22" i="2"/>
  <c r="H23" i="2"/>
  <c r="I22" i="2"/>
  <c r="L22" i="2"/>
  <c r="K22" i="2"/>
  <c r="M23" i="2"/>
  <c r="O22" i="2"/>
  <c r="E22" i="2"/>
  <c r="F22" i="2"/>
  <c r="D23" i="2"/>
  <c r="L23" i="2"/>
  <c r="J23" i="2"/>
  <c r="I23" i="2"/>
  <c r="E23" i="2"/>
  <c r="G23" i="2"/>
  <c r="F24" i="2"/>
  <c r="O23" i="2"/>
  <c r="F23" i="2"/>
  <c r="K23" i="2"/>
  <c r="K24" i="2"/>
  <c r="D24" i="2"/>
  <c r="L24" i="2"/>
  <c r="J24" i="2"/>
  <c r="I24" i="2"/>
  <c r="E24" i="2"/>
  <c r="G24" i="2"/>
  <c r="O24" i="2"/>
  <c r="H24" i="2"/>
  <c r="M24" i="2"/>
  <c r="O40" i="2"/>
  <c r="K40" i="2"/>
  <c r="M40" i="2"/>
  <c r="D40" i="2"/>
  <c r="I40" i="2"/>
  <c r="G40" i="2"/>
  <c r="E40" i="2"/>
  <c r="L40" i="2"/>
  <c r="J40" i="2"/>
  <c r="H40" i="2"/>
  <c r="F40" i="2"/>
  <c r="I39" i="2"/>
  <c r="D39" i="2"/>
  <c r="J39" i="2"/>
  <c r="O39" i="2"/>
  <c r="L39" i="2"/>
  <c r="M39" i="2"/>
  <c r="F39" i="2"/>
  <c r="H39" i="2"/>
  <c r="E39" i="2"/>
  <c r="K39" i="2"/>
  <c r="G39" i="2"/>
  <c r="I38" i="2"/>
  <c r="F38" i="2"/>
  <c r="H38" i="2"/>
  <c r="D38" i="2"/>
  <c r="M38" i="2"/>
  <c r="E38" i="2"/>
  <c r="L38" i="2"/>
  <c r="G38" i="2"/>
  <c r="O38" i="2"/>
  <c r="J38" i="2"/>
  <c r="K38" i="2"/>
  <c r="K35" i="2"/>
  <c r="L35" i="2"/>
  <c r="O35" i="2"/>
  <c r="J35" i="2"/>
  <c r="F35" i="2"/>
  <c r="M35" i="2"/>
  <c r="D35" i="2"/>
  <c r="I35" i="2"/>
  <c r="E35" i="2"/>
  <c r="H35" i="2"/>
  <c r="G35" i="2"/>
  <c r="H29" i="2"/>
  <c r="J29" i="2"/>
  <c r="K29" i="2"/>
  <c r="L29" i="2"/>
  <c r="E29" i="2"/>
  <c r="M29" i="2"/>
  <c r="F29" i="2"/>
  <c r="G29" i="2"/>
  <c r="D29" i="2"/>
  <c r="I29" i="2"/>
  <c r="O29" i="2"/>
  <c r="K30" i="2"/>
  <c r="O30" i="2"/>
  <c r="D31" i="2"/>
  <c r="G30" i="2"/>
  <c r="I30" i="2"/>
  <c r="F30" i="2"/>
  <c r="H30" i="2"/>
  <c r="D30" i="2"/>
  <c r="L30" i="2"/>
  <c r="E30" i="2"/>
  <c r="J30" i="2"/>
  <c r="M30" i="2"/>
  <c r="J31" i="2"/>
  <c r="F31" i="2"/>
  <c r="O31" i="2"/>
  <c r="G31" i="2"/>
  <c r="M31" i="2"/>
  <c r="H31" i="2"/>
  <c r="I31" i="2"/>
  <c r="K31" i="2"/>
  <c r="L31" i="2"/>
  <c r="E31" i="2"/>
  <c r="K32" i="2"/>
  <c r="O32" i="2"/>
  <c r="G32" i="2"/>
  <c r="I32" i="2"/>
  <c r="H32" i="2"/>
  <c r="M32" i="2"/>
  <c r="F32" i="2"/>
  <c r="L32" i="2"/>
  <c r="D32" i="2"/>
  <c r="J32" i="2"/>
  <c r="E32" i="2"/>
  <c r="E13" i="2"/>
  <c r="O14" i="2"/>
  <c r="K14" i="2"/>
  <c r="F14" i="2"/>
  <c r="L14" i="2"/>
  <c r="E14" i="2"/>
  <c r="I14" i="2"/>
  <c r="G14" i="2"/>
  <c r="H14" i="2"/>
  <c r="M14" i="2"/>
  <c r="J14" i="2"/>
  <c r="D14" i="2"/>
  <c r="J9" i="2"/>
  <c r="E9" i="2"/>
  <c r="E8" i="2"/>
  <c r="L9" i="2"/>
  <c r="F9" i="2"/>
  <c r="M9" i="2"/>
  <c r="L8" i="2"/>
  <c r="F8" i="2"/>
  <c r="M8" i="2"/>
  <c r="H9" i="2"/>
  <c r="D9" i="2"/>
  <c r="G9" i="2"/>
  <c r="J8" i="2"/>
  <c r="H8" i="2"/>
  <c r="D8" i="2"/>
  <c r="G8" i="2"/>
  <c r="K9" i="2"/>
  <c r="O9" i="2"/>
  <c r="I9" i="2"/>
  <c r="K8" i="2"/>
  <c r="O8" i="2"/>
  <c r="I8" i="2"/>
  <c r="K16" i="2"/>
  <c r="L11" i="2"/>
  <c r="J11" i="2"/>
  <c r="O11" i="2"/>
  <c r="L10" i="2"/>
  <c r="J10" i="2"/>
  <c r="M10" i="2"/>
  <c r="H11" i="2"/>
  <c r="M11" i="2"/>
  <c r="M13" i="2"/>
  <c r="H10" i="2"/>
  <c r="F11" i="2"/>
  <c r="E11" i="2"/>
  <c r="K10" i="2"/>
  <c r="F10" i="2"/>
  <c r="E10" i="2"/>
  <c r="I12" i="2"/>
  <c r="K11" i="2"/>
  <c r="D11" i="2"/>
  <c r="G11" i="2"/>
  <c r="F12" i="2"/>
  <c r="I10" i="2"/>
  <c r="D10" i="2"/>
  <c r="G10" i="2"/>
  <c r="G13" i="2"/>
  <c r="I11" i="2"/>
  <c r="O10" i="2"/>
  <c r="J13" i="2"/>
  <c r="J12" i="2"/>
  <c r="E12" i="2"/>
  <c r="M17" i="2"/>
  <c r="M12" i="2"/>
  <c r="K12" i="2"/>
  <c r="L13" i="2"/>
  <c r="K13" i="2"/>
  <c r="L12" i="2"/>
  <c r="I13" i="2"/>
  <c r="F13" i="2"/>
  <c r="G12" i="2"/>
  <c r="H13" i="2"/>
  <c r="O12" i="2"/>
  <c r="D13" i="2"/>
  <c r="F19" i="2"/>
  <c r="J16" i="2"/>
  <c r="H12" i="2"/>
  <c r="O13" i="2"/>
  <c r="D12" i="2"/>
  <c r="L17" i="2"/>
  <c r="M16" i="2"/>
  <c r="O15" i="2"/>
  <c r="J15" i="2"/>
  <c r="F17" i="2"/>
  <c r="M15" i="2"/>
  <c r="O16" i="2"/>
  <c r="F16" i="2"/>
  <c r="D17" i="2"/>
  <c r="L16" i="2"/>
  <c r="G15" i="2"/>
  <c r="F15" i="2"/>
  <c r="F20" i="2"/>
  <c r="D18" i="2"/>
  <c r="L15" i="2"/>
  <c r="G16" i="2"/>
  <c r="D16" i="2"/>
  <c r="G17" i="2"/>
  <c r="H16" i="2"/>
  <c r="D15" i="2"/>
  <c r="H15" i="2"/>
  <c r="I16" i="2"/>
  <c r="E16" i="2"/>
  <c r="J18" i="2"/>
  <c r="K15" i="2"/>
  <c r="I15" i="2"/>
  <c r="E15" i="2"/>
  <c r="I17" i="2"/>
  <c r="O18" i="2"/>
  <c r="I18" i="2"/>
  <c r="L18" i="2"/>
  <c r="O17" i="2"/>
  <c r="G19" i="2"/>
  <c r="K18" i="2"/>
  <c r="E17" i="2"/>
  <c r="J17" i="2"/>
  <c r="K17" i="2"/>
  <c r="E18" i="2"/>
  <c r="H17" i="2"/>
  <c r="I19" i="2"/>
  <c r="M18" i="2"/>
  <c r="M19" i="2"/>
  <c r="F18" i="2"/>
  <c r="G18" i="2"/>
  <c r="H18" i="2"/>
  <c r="O20" i="2"/>
  <c r="I20" i="2"/>
  <c r="L20" i="2"/>
  <c r="G20" i="2"/>
  <c r="L19" i="2"/>
  <c r="H19" i="2"/>
  <c r="J20" i="2"/>
  <c r="K20" i="2"/>
  <c r="D19" i="2"/>
  <c r="M20" i="2"/>
  <c r="H20" i="2"/>
  <c r="J19" i="2"/>
  <c r="K19" i="2"/>
  <c r="D20" i="2"/>
  <c r="E19" i="2"/>
  <c r="O19" i="2"/>
  <c r="E20" i="2"/>
  <c r="M37" i="2"/>
  <c r="G36" i="2"/>
  <c r="G27" i="2"/>
  <c r="G7" i="2"/>
  <c r="G26" i="2"/>
  <c r="G25" i="2"/>
  <c r="J37" i="2"/>
  <c r="D36" i="2"/>
  <c r="M6" i="2"/>
  <c r="M28" i="2"/>
  <c r="M25" i="2"/>
  <c r="M33" i="2"/>
  <c r="M7" i="2"/>
  <c r="M36" i="2"/>
  <c r="M26" i="2"/>
  <c r="G34" i="2"/>
  <c r="G6" i="2"/>
  <c r="G28" i="2"/>
  <c r="G37" i="2"/>
  <c r="G33" i="2"/>
  <c r="F26" i="2"/>
  <c r="F28" i="2"/>
  <c r="F36" i="2"/>
  <c r="J27" i="2"/>
  <c r="J36" i="2"/>
  <c r="J7" i="2"/>
  <c r="F7" i="2"/>
  <c r="L7" i="2"/>
  <c r="L25" i="2"/>
  <c r="L36" i="2"/>
  <c r="L37" i="2"/>
  <c r="L33" i="2"/>
  <c r="L27" i="2"/>
  <c r="L34" i="2"/>
  <c r="L6" i="2"/>
  <c r="E25" i="2"/>
  <c r="F37" i="2"/>
  <c r="F33" i="2"/>
  <c r="F25" i="2"/>
  <c r="F34" i="2"/>
  <c r="E34" i="2"/>
  <c r="F41" i="2"/>
  <c r="F27" i="2"/>
  <c r="D41" i="2"/>
  <c r="H41" i="2"/>
  <c r="J26" i="2"/>
  <c r="H33" i="2"/>
  <c r="E7" i="2"/>
  <c r="J25" i="2"/>
  <c r="K42" i="2"/>
  <c r="K41" i="2"/>
  <c r="E27" i="2"/>
  <c r="E26" i="2"/>
  <c r="H25" i="2"/>
  <c r="M42" i="2"/>
  <c r="J41" i="2"/>
  <c r="E6" i="2"/>
  <c r="E36" i="2"/>
  <c r="J6" i="2"/>
  <c r="J42" i="2"/>
  <c r="E37" i="2"/>
  <c r="H27" i="2"/>
  <c r="H26" i="2"/>
  <c r="I41" i="2"/>
  <c r="E41" i="2"/>
  <c r="J34" i="2"/>
  <c r="H28" i="2"/>
  <c r="H7" i="2"/>
  <c r="O41" i="2"/>
  <c r="M41" i="2"/>
  <c r="M27" i="2"/>
  <c r="L26" i="2"/>
  <c r="J28" i="2"/>
  <c r="H6" i="2"/>
  <c r="H34" i="2"/>
  <c r="E33" i="2"/>
  <c r="H37" i="2"/>
  <c r="H42" i="2"/>
  <c r="E42" i="2"/>
  <c r="L41" i="2"/>
  <c r="G41" i="2"/>
  <c r="D26" i="2"/>
  <c r="D28" i="2"/>
  <c r="L42" i="2"/>
  <c r="O42" i="2"/>
  <c r="D34" i="2"/>
  <c r="D25" i="2"/>
  <c r="D37" i="2"/>
  <c r="I42" i="2"/>
  <c r="F42" i="2"/>
  <c r="D27" i="2"/>
  <c r="D33" i="2"/>
  <c r="D7" i="2"/>
  <c r="D6" i="2"/>
  <c r="N43" i="2"/>
  <c r="I28" i="2"/>
  <c r="I33" i="2"/>
  <c r="I36" i="2"/>
  <c r="I25" i="2"/>
  <c r="I34" i="2"/>
  <c r="I6" i="2"/>
  <c r="K6" i="2"/>
  <c r="I26" i="2"/>
  <c r="I37" i="2"/>
  <c r="I7" i="2"/>
  <c r="O34" i="2"/>
  <c r="K7" i="2"/>
  <c r="K33" i="2"/>
  <c r="K34" i="2"/>
  <c r="O25" i="2"/>
  <c r="K37" i="2"/>
  <c r="K26" i="2"/>
  <c r="K36" i="2"/>
  <c r="K25" i="2"/>
  <c r="K27" i="2"/>
  <c r="K28" i="2"/>
  <c r="O6" i="2"/>
  <c r="O33" i="2"/>
  <c r="O28" i="2"/>
  <c r="O27" i="2"/>
  <c r="O37" i="2"/>
  <c r="O36" i="2"/>
  <c r="O26" i="2"/>
  <c r="P21" i="2" l="1"/>
  <c r="P22" i="2"/>
  <c r="P23" i="2"/>
  <c r="P24" i="2"/>
  <c r="P40" i="2"/>
  <c r="D37" i="1" s="1"/>
  <c r="F37" i="1" s="1"/>
  <c r="G37" i="1" s="1"/>
  <c r="P39" i="2"/>
  <c r="D36" i="1" s="1"/>
  <c r="F36" i="1" s="1"/>
  <c r="G36" i="1" s="1"/>
  <c r="P38" i="2"/>
  <c r="D35" i="1" s="1"/>
  <c r="P35" i="2"/>
  <c r="D32" i="1" s="1"/>
  <c r="F32" i="1" s="1"/>
  <c r="G32" i="1" s="1"/>
  <c r="P30" i="2"/>
  <c r="D27" i="1" s="1"/>
  <c r="F27" i="1" s="1"/>
  <c r="G27" i="1" s="1"/>
  <c r="P29" i="2"/>
  <c r="D26" i="1" s="1"/>
  <c r="F26" i="1" s="1"/>
  <c r="G26" i="1" s="1"/>
  <c r="P31" i="2"/>
  <c r="D28" i="1" s="1"/>
  <c r="F28" i="1" s="1"/>
  <c r="G28" i="1" s="1"/>
  <c r="P32" i="2"/>
  <c r="D29" i="1" s="1"/>
  <c r="F29" i="1" s="1"/>
  <c r="G29" i="1" s="1"/>
  <c r="P14" i="2"/>
  <c r="P9" i="2"/>
  <c r="P8" i="2"/>
  <c r="P10" i="2"/>
  <c r="P12" i="2"/>
  <c r="P11" i="2"/>
  <c r="P13" i="2"/>
  <c r="P17" i="2"/>
  <c r="P15" i="2"/>
  <c r="P18" i="2"/>
  <c r="P16" i="2"/>
  <c r="D13" i="1" s="1"/>
  <c r="F13" i="1" s="1"/>
  <c r="G13" i="1" s="1"/>
  <c r="P19" i="2"/>
  <c r="P20" i="2"/>
  <c r="G43" i="2"/>
  <c r="J43" i="2"/>
  <c r="M43" i="2"/>
  <c r="E43" i="2"/>
  <c r="P41" i="2"/>
  <c r="L43" i="2"/>
  <c r="H43" i="2"/>
  <c r="P42" i="2"/>
  <c r="F39" i="1" s="1"/>
  <c r="G39" i="1" s="1"/>
  <c r="D43" i="2"/>
  <c r="F43" i="2"/>
  <c r="P37" i="2"/>
  <c r="D34" i="1" s="1"/>
  <c r="F34" i="1" s="1"/>
  <c r="G34" i="1" s="1"/>
  <c r="O43" i="2"/>
  <c r="K43" i="2"/>
  <c r="I43" i="2"/>
  <c r="P36" i="2"/>
  <c r="D33" i="1" s="1"/>
  <c r="P7" i="2"/>
  <c r="P27" i="2"/>
  <c r="P33" i="2"/>
  <c r="P26" i="2"/>
  <c r="P28" i="2"/>
  <c r="D25" i="1" s="1"/>
  <c r="P25" i="2"/>
  <c r="P34" i="2"/>
  <c r="P6" i="2"/>
  <c r="D20" i="1" l="1"/>
  <c r="F20" i="1" s="1"/>
  <c r="G20" i="1" s="1"/>
  <c r="D21" i="1"/>
  <c r="F21" i="1" s="1"/>
  <c r="G21" i="1" s="1"/>
  <c r="D12" i="1"/>
  <c r="F12" i="1" s="1"/>
  <c r="G12" i="1" s="1"/>
  <c r="D10" i="1"/>
  <c r="F10" i="1" s="1"/>
  <c r="G10" i="1" s="1"/>
  <c r="D22" i="1"/>
  <c r="F22" i="1" s="1"/>
  <c r="G22" i="1" s="1"/>
  <c r="D6" i="1"/>
  <c r="F6" i="1" s="1"/>
  <c r="G6" i="1" s="1"/>
  <c r="D23" i="1"/>
  <c r="F23" i="1" s="1"/>
  <c r="G23" i="1" s="1"/>
  <c r="D30" i="1"/>
  <c r="F30" i="1" s="1"/>
  <c r="G30" i="1" s="1"/>
  <c r="D38" i="1"/>
  <c r="F38" i="1" s="1"/>
  <c r="G38" i="1" s="1"/>
  <c r="D24" i="1"/>
  <c r="F24" i="1" s="1"/>
  <c r="G24" i="1" s="1"/>
  <c r="F33" i="1"/>
  <c r="G33" i="1" s="1"/>
  <c r="D8" i="1"/>
  <c r="F8" i="1" s="1"/>
  <c r="G8" i="1" s="1"/>
  <c r="D19" i="1"/>
  <c r="F19" i="1" s="1"/>
  <c r="G19" i="1" s="1"/>
  <c r="D31" i="1"/>
  <c r="D17" i="1"/>
  <c r="F17" i="1" s="1"/>
  <c r="G17" i="1" s="1"/>
  <c r="D16" i="1"/>
  <c r="F16" i="1" s="1"/>
  <c r="G16" i="1" s="1"/>
  <c r="D15" i="1"/>
  <c r="F15" i="1" s="1"/>
  <c r="G15" i="1" s="1"/>
  <c r="D18" i="1"/>
  <c r="F18" i="1" s="1"/>
  <c r="G18" i="1" s="1"/>
  <c r="D14" i="1"/>
  <c r="F14" i="1" s="1"/>
  <c r="G14" i="1" s="1"/>
  <c r="D9" i="1"/>
  <c r="F9" i="1" s="1"/>
  <c r="G9" i="1" s="1"/>
  <c r="D7" i="1"/>
  <c r="F7" i="1" s="1"/>
  <c r="G7" i="1" s="1"/>
  <c r="D5" i="1"/>
  <c r="F5" i="1" s="1"/>
  <c r="G5" i="1" s="1"/>
  <c r="P43" i="2"/>
  <c r="D4" i="1"/>
  <c r="F31" i="1" l="1"/>
  <c r="G31" i="1" s="1"/>
  <c r="D40" i="1"/>
  <c r="F4" i="1"/>
  <c r="F40" i="1" s="1"/>
  <c r="G40" i="1" s="1"/>
  <c r="G4" i="1" l="1"/>
</calcChain>
</file>

<file path=xl/sharedStrings.xml><?xml version="1.0" encoding="utf-8"?>
<sst xmlns="http://schemas.openxmlformats.org/spreadsheetml/2006/main" count="393" uniqueCount="205">
  <si>
    <t>G/L Code</t>
  </si>
  <si>
    <t>Account Title</t>
  </si>
  <si>
    <t>Actual</t>
  </si>
  <si>
    <t>Budget</t>
  </si>
  <si>
    <t>Remaining $</t>
  </si>
  <si>
    <t>Remaining %</t>
  </si>
  <si>
    <t>Total</t>
  </si>
  <si>
    <t>Requested by</t>
  </si>
  <si>
    <t>Check Amount</t>
  </si>
  <si>
    <t>Payee</t>
  </si>
  <si>
    <t>Method of Distribution</t>
  </si>
  <si>
    <t>File Date</t>
  </si>
  <si>
    <t>Date Check Request Initiated</t>
  </si>
  <si>
    <t>Previous Year Contribution</t>
  </si>
  <si>
    <t>Used For</t>
  </si>
  <si>
    <t>Signed Off by</t>
  </si>
  <si>
    <t>Category</t>
  </si>
  <si>
    <t>Susan W. Eaton</t>
  </si>
  <si>
    <t xml:space="preserve">School of Fine Art </t>
  </si>
  <si>
    <t>Scholarships</t>
  </si>
  <si>
    <t>Kim Ralls</t>
  </si>
  <si>
    <t>Arts</t>
  </si>
  <si>
    <t>Check</t>
  </si>
  <si>
    <t xml:space="preserve">Wingtip Toys </t>
  </si>
  <si>
    <t>Community</t>
  </si>
  <si>
    <t>Kathie Flood</t>
  </si>
  <si>
    <t>MONTHLY EXPENSES SUMMARY</t>
  </si>
  <si>
    <t>January</t>
  </si>
  <si>
    <t>February</t>
  </si>
  <si>
    <t>March</t>
  </si>
  <si>
    <t>April</t>
  </si>
  <si>
    <t>May</t>
  </si>
  <si>
    <t>June</t>
  </si>
  <si>
    <t>July</t>
  </si>
  <si>
    <t>August</t>
  </si>
  <si>
    <t>September</t>
  </si>
  <si>
    <t>October</t>
  </si>
  <si>
    <t>November</t>
  </si>
  <si>
    <t>December</t>
  </si>
  <si>
    <t xml:space="preserve"> </t>
  </si>
  <si>
    <t>Date</t>
  </si>
  <si>
    <t>ITEMIZED EXPENSES</t>
  </si>
  <si>
    <t>CHARITABLES &amp; SPONSORSHIPS</t>
  </si>
  <si>
    <t>Slicer to filter data by Account Titles is in this cell.</t>
  </si>
  <si>
    <t>YEAR</t>
  </si>
  <si>
    <t>Amazon Smile</t>
  </si>
  <si>
    <t>Other</t>
  </si>
  <si>
    <t>Membership Dues</t>
  </si>
  <si>
    <t>Insurance &amp; Audit</t>
  </si>
  <si>
    <t>School Contributions</t>
  </si>
  <si>
    <t>Deposit/Credit</t>
  </si>
  <si>
    <t>Carpool Raffle Income (fall and spring)</t>
  </si>
  <si>
    <t>Carpool Raffle Expenses (fall and spring)</t>
  </si>
  <si>
    <t>PTA Dance Income (Fall)</t>
  </si>
  <si>
    <t>PTA Dance Expenses (Fall)</t>
  </si>
  <si>
    <t>Breakfast with Santa Income</t>
  </si>
  <si>
    <t>Breakfast with Santa Expenses</t>
  </si>
  <si>
    <t>Scholastic Expenses (Fall)</t>
  </si>
  <si>
    <t>Scholastic Income (Fall)</t>
  </si>
  <si>
    <t>Scholastic Income (Spring)</t>
  </si>
  <si>
    <t>Scholastic Expense (Spring)</t>
  </si>
  <si>
    <t>BoxTops</t>
  </si>
  <si>
    <t>MCES ACTUAL vs. BUDGET YTD</t>
  </si>
  <si>
    <t>Transaction Date</t>
  </si>
  <si>
    <t>Deposit Details/Check Use</t>
  </si>
  <si>
    <t>Membership Dues Fees</t>
  </si>
  <si>
    <t>Cleared</t>
  </si>
  <si>
    <t>Chk book Balance</t>
  </si>
  <si>
    <t>Artists in the School</t>
  </si>
  <si>
    <t>First Day School Supplies Box</t>
  </si>
  <si>
    <t>Holiday Shop Profit</t>
  </si>
  <si>
    <t>Little Caesar's Fundraiser (50)</t>
  </si>
  <si>
    <t>Meredith Tolar</t>
  </si>
  <si>
    <t>Sheila Capps</t>
  </si>
  <si>
    <t>Sara Perry</t>
  </si>
  <si>
    <t>Check #</t>
  </si>
  <si>
    <t>Deposit</t>
  </si>
  <si>
    <t>Placeholder</t>
  </si>
  <si>
    <t>K-2 Carnival Income</t>
  </si>
  <si>
    <t>K-2 Carnival Expenses</t>
  </si>
  <si>
    <t>Abby Pope</t>
  </si>
  <si>
    <t>K-2 Carnival Prizes</t>
  </si>
  <si>
    <t>Memberhub</t>
  </si>
  <si>
    <t>Cash</t>
  </si>
  <si>
    <t>Ms B's Spirit Night</t>
  </si>
  <si>
    <t>Angie Standley</t>
  </si>
  <si>
    <t>Scholastic</t>
  </si>
  <si>
    <t>Dominoe's</t>
  </si>
  <si>
    <t>Delightfully Sweet LLC</t>
  </si>
  <si>
    <t>Apple Day Reimb</t>
  </si>
  <si>
    <t>Tree Lighting</t>
  </si>
  <si>
    <t>Tree lighting</t>
  </si>
  <si>
    <t>Petty cash</t>
  </si>
  <si>
    <t>Payor/Payee</t>
  </si>
  <si>
    <t>Boosterthon</t>
  </si>
  <si>
    <t>Breakfast with Santa</t>
  </si>
  <si>
    <t>Playworld Preferred</t>
  </si>
  <si>
    <t>Playground equipment</t>
  </si>
  <si>
    <t>Volunteer Reimb</t>
  </si>
  <si>
    <t>Tree Lighting raffle</t>
  </si>
  <si>
    <t>Candy for teacher classroom</t>
  </si>
  <si>
    <t>Daddy/Daughter Reimb</t>
  </si>
  <si>
    <t>Burney's</t>
  </si>
  <si>
    <t xml:space="preserve">Monthly treat </t>
  </si>
  <si>
    <t>Final invoice</t>
  </si>
  <si>
    <t>Thurmond Sheppard</t>
  </si>
  <si>
    <t>DJ for daddy/daughter</t>
  </si>
  <si>
    <t>Pizza for daddy/daughter</t>
  </si>
  <si>
    <t>Dessert for daddy/daughter</t>
  </si>
  <si>
    <t>Sheena Allen</t>
  </si>
  <si>
    <t>Christina Dupree</t>
  </si>
  <si>
    <t>Kara Lillie</t>
  </si>
  <si>
    <t>Lauren Horne</t>
  </si>
  <si>
    <t>Kristen Sweet</t>
  </si>
  <si>
    <t>Mandy Bowden</t>
  </si>
  <si>
    <t>Daddy/daughter event cash sales</t>
  </si>
  <si>
    <t>Spiritwear</t>
  </si>
  <si>
    <t>Spring VIP Carpool</t>
  </si>
  <si>
    <t>Daddy/Daughter Dance</t>
  </si>
  <si>
    <t>McD Spirit Night</t>
  </si>
  <si>
    <t>McDonald's Spirit Night</t>
  </si>
  <si>
    <t>Spring Dance Reimb</t>
  </si>
  <si>
    <t>Pizza for spring dance</t>
  </si>
  <si>
    <t>Spring Dance Income</t>
  </si>
  <si>
    <t>Lowe's Foods</t>
  </si>
  <si>
    <t>Scholastic Cost</t>
  </si>
  <si>
    <t>Angie Stanley</t>
  </si>
  <si>
    <t>Field Day</t>
  </si>
  <si>
    <t>Memberhub Spring dance</t>
  </si>
  <si>
    <t>Fees</t>
  </si>
  <si>
    <t>Coolers</t>
  </si>
  <si>
    <t>EOG Prize Cart</t>
  </si>
  <si>
    <t>Pi Day Reimb</t>
  </si>
  <si>
    <t>Megan Gedeon</t>
  </si>
  <si>
    <t>Lauren Barbour</t>
  </si>
  <si>
    <t>Ragland Productions</t>
  </si>
  <si>
    <t>Carnival game rental</t>
  </si>
  <si>
    <t>Powell Party Rentals</t>
  </si>
  <si>
    <t>Inflatable rental</t>
  </si>
  <si>
    <t>Jennifer Allen</t>
  </si>
  <si>
    <t>Popcorn and cotton candy machine rental</t>
  </si>
  <si>
    <t>Pizza for volunteers</t>
  </si>
  <si>
    <t>Face painting supplies</t>
  </si>
  <si>
    <t>Carnival décor</t>
  </si>
  <si>
    <t>Carnival income</t>
  </si>
  <si>
    <t>BlackBaud Giving Fund</t>
  </si>
  <si>
    <t>Corp matching donation</t>
  </si>
  <si>
    <t>Carnival Reimb</t>
  </si>
  <si>
    <t>TAW</t>
  </si>
  <si>
    <t>Ed Hall</t>
  </si>
  <si>
    <t>Carolyn Brown</t>
  </si>
  <si>
    <t>Heather Chitwood</t>
  </si>
  <si>
    <t>First Place Spiritwear</t>
  </si>
  <si>
    <t>Spirit wear</t>
  </si>
  <si>
    <t>Carnival proceeds</t>
  </si>
  <si>
    <t>Refund for broken game</t>
  </si>
  <si>
    <t>Ck #</t>
  </si>
  <si>
    <t>type</t>
  </si>
  <si>
    <t>amount</t>
  </si>
  <si>
    <t>details</t>
  </si>
  <si>
    <t>Row Labels</t>
  </si>
  <si>
    <t>(blank)</t>
  </si>
  <si>
    <t>Grand Total</t>
  </si>
  <si>
    <t>Sum of amount</t>
  </si>
  <si>
    <t>Someone Special Dance Income</t>
  </si>
  <si>
    <t>Someone Special Dance Expenses</t>
  </si>
  <si>
    <t>Apex Leadership Income</t>
  </si>
  <si>
    <t>Apex Leadership Expenses</t>
  </si>
  <si>
    <t>3-5 Carnival Income</t>
  </si>
  <si>
    <t>3-5 Carnival Expenses</t>
  </si>
  <si>
    <t>Spirit Hero Spiritwear</t>
  </si>
  <si>
    <t xml:space="preserve">Apex (PTA Reimbursment) </t>
  </si>
  <si>
    <t>Buddy Bench Fundraiser</t>
  </si>
  <si>
    <t>Penny Wars Income</t>
  </si>
  <si>
    <t>*Diff of $13,225.60 is the prior year boosterthon funds to be spent and the current year estimated profit for boosterthon</t>
  </si>
  <si>
    <t>Boosterthon Funds Remaining 2022-2023</t>
  </si>
  <si>
    <t>FY 23 Boosterthon Funds Remaining</t>
  </si>
  <si>
    <t>Apex (PTA Reimbursment)</t>
  </si>
  <si>
    <t>PTA Website - 2 year renewal</t>
  </si>
  <si>
    <t>x</t>
  </si>
  <si>
    <t>NA</t>
  </si>
  <si>
    <t>Ms. B's</t>
  </si>
  <si>
    <t>Spirit Night</t>
  </si>
  <si>
    <t>Emogene Carrillo</t>
  </si>
  <si>
    <t>Spanish Curriculum</t>
  </si>
  <si>
    <t>Staff Polo Shirts</t>
  </si>
  <si>
    <t>Candy - Survival Took Kits</t>
  </si>
  <si>
    <t>Headphones (Enhancement)</t>
  </si>
  <si>
    <t>Mary Hodges</t>
  </si>
  <si>
    <t>Pencils - Survival Tool Kits</t>
  </si>
  <si>
    <t>Amy Stewart</t>
  </si>
  <si>
    <t>Erasers - Band aids - Bags - Survival Tool Kits</t>
  </si>
  <si>
    <t>Paper Clips - Rubberbands - Survival Tool Kits</t>
  </si>
  <si>
    <t>Supplies - Open House</t>
  </si>
  <si>
    <t>Service Charges - Truist</t>
  </si>
  <si>
    <t>Deposit - Give Backs</t>
  </si>
  <si>
    <t>Deposit - Cash - PTA Membership</t>
  </si>
  <si>
    <t>Deposit - Open House Cash Donation</t>
  </si>
  <si>
    <t>Donation</t>
  </si>
  <si>
    <t>Popsicles - Fun Friday</t>
  </si>
  <si>
    <t>Nellie Piedra</t>
  </si>
  <si>
    <t>Pennies - Survival Tool Kit</t>
  </si>
  <si>
    <t>Norris &amp; Cooke</t>
  </si>
  <si>
    <t>Audit &amp; Taxes</t>
  </si>
  <si>
    <t>Substitute Tote Bags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</si>
</sst>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_);\(&quot;$&quot;#,##0.00\)"/>
    <numFmt numFmtId="164" formatCode="&quot;$&quot;#,##0.00"/>
    <numFmt numFmtId="165" formatCode="0_);\(0\)"/>
  </numFmts>
  <fonts count="19" x14ac:knownFonts="1">
    <font>
      <sz val="11"/>
      <color theme="1" tint="-0.24994659260841701"/>
      <name val="Gill Sans MT"/>
      <family val="2"/>
      <scheme val="minor"/>
    </font>
    <font>
      <sz val="11"/>
      <color theme="1"/>
      <name val="Gill Sans MT"/>
      <family val="2"/>
      <scheme val="minor"/>
    </font>
    <font>
      <sz val="11"/>
      <color theme="0"/>
      <name val="Gill Sans MT"/>
      <family val="2"/>
      <scheme val="minor"/>
    </font>
    <font>
      <sz val="18"/>
      <color theme="1" tint="-0.24994659260841701"/>
      <name val="Gill Sans MT"/>
      <family val="2"/>
      <scheme val="major"/>
    </font>
    <font>
      <u/>
      <sz val="11"/>
      <color theme="10"/>
      <name val="Gill Sans MT"/>
      <family val="2"/>
      <scheme val="minor"/>
    </font>
    <font>
      <u/>
      <sz val="11"/>
      <color theme="0"/>
      <name val="Gill Sans MT"/>
      <family val="2"/>
      <scheme val="minor"/>
    </font>
    <font>
      <sz val="11"/>
      <color theme="1" tint="-0.24994659260841701"/>
      <name val="Gill Sans MT"/>
      <family val="2"/>
      <scheme val="minor"/>
    </font>
    <font>
      <sz val="11"/>
      <color theme="1" tint="-0.24994659260841701"/>
      <name val="Gill Sans MT"/>
      <family val="2"/>
    </font>
    <font>
      <sz val="11"/>
      <color theme="1" tint="-0.249977111117893"/>
      <name val="Gill Sans MT"/>
      <family val="2"/>
    </font>
    <font>
      <b/>
      <sz val="12"/>
      <color theme="0" tint="-4.9989318521683403E-2"/>
      <name val="Gill Sans MT"/>
      <family val="2"/>
    </font>
    <font>
      <b/>
      <sz val="12"/>
      <color theme="1"/>
      <name val="Gill Sans MT"/>
      <family val="2"/>
    </font>
    <font>
      <b/>
      <sz val="12"/>
      <color theme="1" tint="-0.24994659260841701"/>
      <name val="Gill Sans MT"/>
      <family val="2"/>
    </font>
    <font>
      <sz val="12"/>
      <color theme="0"/>
      <name val="Gill Sans MT"/>
      <family val="2"/>
    </font>
    <font>
      <sz val="30"/>
      <color theme="1" tint="-0.24994659260841701"/>
      <name val="Gill Sans MT"/>
      <family val="2"/>
    </font>
    <font>
      <sz val="30"/>
      <color theme="2" tint="-0.89999084444715716"/>
      <name val="Gill Sans MT"/>
      <family val="2"/>
    </font>
    <font>
      <sz val="18"/>
      <color theme="0"/>
      <name val="Gill Sans MT"/>
      <family val="2"/>
    </font>
    <font>
      <sz val="11"/>
      <color theme="1" tint="-0.249977111117893"/>
      <name val="Gill Sans MT"/>
      <family val="2"/>
    </font>
    <font>
      <sz val="11"/>
      <color theme="1" tint="-0.24994659260841701"/>
      <name val="Gill Sans MT"/>
      <family val="2"/>
    </font>
    <font>
      <sz val="11"/>
      <color theme="1" tint="-0.249977111117893"/>
      <name val="Gill Sans MT"/>
      <family val="2"/>
    </font>
  </fonts>
  <fills count="10">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E684D"/>
        <bgColor indexed="64"/>
      </patternFill>
    </fill>
    <fill>
      <patternFill patternType="solid">
        <fgColor rgb="FF002060"/>
        <bgColor indexed="64"/>
      </patternFill>
    </fill>
    <fill>
      <patternFill patternType="solid">
        <fgColor theme="6" tint="0.79998168889431442"/>
        <bgColor theme="6" tint="0.79998168889431442"/>
      </patternFill>
    </fill>
    <fill>
      <patternFill patternType="solid">
        <fgColor rgb="FFFFFF00"/>
        <bgColor indexed="64"/>
      </patternFill>
    </fill>
  </fills>
  <borders count="16">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
      <left style="thin">
        <color theme="1" tint="0.79998168889431442"/>
      </left>
      <right style="thin">
        <color theme="1" tint="0.79998168889431442"/>
      </right>
      <top style="thin">
        <color theme="1" tint="0.79998168889431442"/>
      </top>
      <bottom/>
      <diagonal/>
    </border>
    <border>
      <left style="thin">
        <color theme="7" tint="0.39994506668294322"/>
      </left>
      <right style="thin">
        <color theme="1" tint="0.79998168889431442"/>
      </right>
      <top style="thin">
        <color theme="1" tint="0.79998168889431442"/>
      </top>
      <bottom style="thin">
        <color theme="1" tint="0.79998168889431442"/>
      </bottom>
      <diagonal/>
    </border>
    <border>
      <left style="thin">
        <color theme="1" tint="0.79998168889431442"/>
      </left>
      <right style="thin">
        <color theme="1" tint="0.79998168889431442"/>
      </right>
      <top style="thin">
        <color theme="1" tint="0.79998168889431442"/>
      </top>
      <bottom style="thin">
        <color theme="6" tint="0.39997558519241921"/>
      </bottom>
      <diagonal/>
    </border>
  </borders>
  <cellStyleXfs count="10">
    <xf numFmtId="0" fontId="0" fillId="0" borderId="0">
      <alignment vertical="center" wrapText="1"/>
    </xf>
    <xf numFmtId="0" fontId="3" fillId="0" borderId="1" applyNumberFormat="0" applyFill="0" applyAlignment="0" applyProtection="0"/>
    <xf numFmtId="0" fontId="3" fillId="0" borderId="4" applyNumberFormat="0" applyFill="0" applyAlignment="0" applyProtection="0"/>
    <xf numFmtId="0" fontId="3" fillId="0" borderId="2"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alignment vertical="center" wrapText="1"/>
    </xf>
    <xf numFmtId="165" fontId="6" fillId="0" borderId="0" applyFont="0" applyFill="0" applyBorder="0" applyAlignment="0" applyProtection="0"/>
    <xf numFmtId="7" fontId="6" fillId="0" borderId="0" applyFont="0" applyFill="0" applyBorder="0" applyAlignment="0" applyProtection="0"/>
    <xf numFmtId="10" fontId="6" fillId="0" borderId="0" applyFont="0" applyFill="0" applyBorder="0" applyAlignment="0" applyProtection="0"/>
    <xf numFmtId="14" fontId="6" fillId="0" borderId="0">
      <alignment horizontal="right" vertical="center" wrapText="1"/>
    </xf>
  </cellStyleXfs>
  <cellXfs count="133">
    <xf numFmtId="0" fontId="0" fillId="0" borderId="0" xfId="0">
      <alignment vertical="center" wrapText="1"/>
    </xf>
    <xf numFmtId="0" fontId="2" fillId="0" borderId="0" xfId="0" applyFont="1" applyAlignment="1">
      <alignment vertical="center" wrapText="1"/>
    </xf>
    <xf numFmtId="0" fontId="5" fillId="0" borderId="0" xfId="5" applyFont="1" applyAlignment="1">
      <alignment vertical="center" wrapText="1"/>
    </xf>
    <xf numFmtId="0" fontId="2" fillId="0" borderId="0" xfId="0" applyFont="1" applyBorder="1" applyAlignment="1">
      <alignment horizontal="center" vertical="center" wrapText="1"/>
    </xf>
    <xf numFmtId="165" fontId="8" fillId="0" borderId="5" xfId="6" applyFont="1" applyFill="1" applyBorder="1" applyAlignment="1">
      <alignment horizontal="center" vertical="center"/>
    </xf>
    <xf numFmtId="0" fontId="8" fillId="0" borderId="5" xfId="0" applyFont="1" applyFill="1" applyBorder="1" applyAlignment="1">
      <alignment horizontal="left" vertical="center" wrapText="1" indent="2"/>
    </xf>
    <xf numFmtId="7" fontId="8" fillId="0" borderId="5" xfId="7" applyFont="1" applyFill="1" applyBorder="1" applyAlignment="1">
      <alignment horizontal="center" vertical="center" wrapText="1"/>
    </xf>
    <xf numFmtId="7" fontId="8" fillId="0" borderId="5" xfId="7" applyFont="1" applyFill="1" applyBorder="1" applyAlignment="1">
      <alignment horizontal="right" vertical="center" wrapText="1"/>
    </xf>
    <xf numFmtId="10" fontId="8" fillId="0" borderId="5" xfId="8" applyFont="1" applyFill="1" applyBorder="1" applyAlignment="1">
      <alignment horizontal="center" vertical="center" wrapText="1"/>
    </xf>
    <xf numFmtId="165" fontId="8" fillId="3" borderId="5" xfId="6" applyFont="1" applyFill="1" applyBorder="1" applyAlignment="1">
      <alignment horizontal="center" vertical="center"/>
    </xf>
    <xf numFmtId="0" fontId="8" fillId="3" borderId="5" xfId="0" applyFont="1" applyFill="1" applyBorder="1" applyAlignment="1">
      <alignment horizontal="left" vertical="center" wrapText="1" indent="2"/>
    </xf>
    <xf numFmtId="7" fontId="8" fillId="3" borderId="5" xfId="7" applyFont="1" applyFill="1" applyBorder="1" applyAlignment="1">
      <alignment horizontal="center" vertical="center" wrapText="1"/>
    </xf>
    <xf numFmtId="7" fontId="8" fillId="3" borderId="5" xfId="7" applyFont="1" applyFill="1" applyBorder="1" applyAlignment="1">
      <alignment horizontal="right" vertical="center" wrapText="1"/>
    </xf>
    <xf numFmtId="10" fontId="8" fillId="3" borderId="5" xfId="8" applyFont="1" applyFill="1" applyBorder="1" applyAlignment="1">
      <alignment horizontal="center" vertical="center" wrapText="1"/>
    </xf>
    <xf numFmtId="165" fontId="8" fillId="3" borderId="6" xfId="6" applyFont="1" applyFill="1" applyBorder="1" applyAlignment="1">
      <alignment horizontal="center" vertical="center"/>
    </xf>
    <xf numFmtId="0" fontId="8" fillId="3" borderId="6" xfId="0" applyFont="1" applyFill="1" applyBorder="1" applyAlignment="1">
      <alignment horizontal="left" vertical="center" wrapText="1" indent="2"/>
    </xf>
    <xf numFmtId="7" fontId="8" fillId="3" borderId="6" xfId="7" applyFont="1" applyFill="1" applyBorder="1" applyAlignment="1">
      <alignment horizontal="center" vertical="center" wrapText="1"/>
    </xf>
    <xf numFmtId="7" fontId="8" fillId="3" borderId="6" xfId="7" applyFont="1" applyFill="1" applyBorder="1" applyAlignment="1">
      <alignment horizontal="right" vertical="center" wrapText="1"/>
    </xf>
    <xf numFmtId="10" fontId="8" fillId="3" borderId="6" xfId="8" applyFont="1" applyFill="1" applyBorder="1" applyAlignment="1">
      <alignment horizontal="center" vertical="center" wrapText="1"/>
    </xf>
    <xf numFmtId="0" fontId="10" fillId="5" borderId="5" xfId="0" applyFont="1" applyFill="1" applyBorder="1" applyAlignment="1">
      <alignment horizontal="center" vertical="center" wrapText="1"/>
    </xf>
    <xf numFmtId="164" fontId="10" fillId="5" borderId="5" xfId="0" applyNumberFormat="1" applyFont="1" applyFill="1" applyBorder="1" applyAlignment="1">
      <alignment horizontal="center" vertical="center" wrapText="1"/>
    </xf>
    <xf numFmtId="10" fontId="10" fillId="5" borderId="5" xfId="0" applyNumberFormat="1" applyFont="1" applyFill="1" applyBorder="1" applyAlignment="1">
      <alignment horizontal="center" vertical="center" wrapText="1"/>
    </xf>
    <xf numFmtId="7" fontId="7" fillId="0" borderId="5" xfId="7"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7" fontId="7" fillId="3" borderId="5" xfId="7"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5" xfId="0" applyFont="1" applyFill="1" applyBorder="1" applyAlignment="1">
      <alignment horizontal="center" vertical="center" wrapText="1"/>
    </xf>
    <xf numFmtId="164" fontId="7" fillId="5" borderId="5" xfId="0" applyNumberFormat="1" applyFont="1" applyFill="1" applyBorder="1" applyAlignment="1">
      <alignment horizontal="center" vertical="center" wrapText="1"/>
    </xf>
    <xf numFmtId="7" fontId="7" fillId="3" borderId="7" xfId="7" applyFont="1" applyFill="1" applyBorder="1" applyAlignment="1">
      <alignment horizontal="center" vertical="center" wrapText="1"/>
    </xf>
    <xf numFmtId="164" fontId="7" fillId="3" borderId="7" xfId="0" applyNumberFormat="1" applyFont="1" applyFill="1" applyBorder="1" applyAlignment="1">
      <alignment horizontal="center" vertical="center" wrapText="1"/>
    </xf>
    <xf numFmtId="165" fontId="8" fillId="4" borderId="8" xfId="6" applyFont="1" applyFill="1" applyBorder="1" applyAlignment="1">
      <alignment horizontal="center" vertical="center" wrapText="1"/>
    </xf>
    <xf numFmtId="0" fontId="8" fillId="4" borderId="8" xfId="0" applyFont="1" applyFill="1" applyBorder="1" applyAlignment="1">
      <alignment horizontal="center" vertical="center" wrapText="1"/>
    </xf>
    <xf numFmtId="165" fontId="7" fillId="4" borderId="7" xfId="6" applyFont="1" applyFill="1" applyBorder="1" applyAlignment="1">
      <alignment horizontal="center" vertical="center"/>
    </xf>
    <xf numFmtId="14" fontId="7" fillId="4" borderId="7" xfId="9" applyFont="1" applyFill="1" applyBorder="1" applyAlignment="1">
      <alignment horizontal="center" vertical="center" wrapText="1"/>
    </xf>
    <xf numFmtId="0" fontId="7" fillId="4" borderId="7" xfId="0" applyFont="1" applyFill="1" applyBorder="1" applyAlignment="1">
      <alignment horizontal="center" vertical="center" wrapText="1"/>
    </xf>
    <xf numFmtId="164" fontId="7" fillId="4" borderId="7" xfId="0" applyNumberFormat="1" applyFont="1" applyFill="1" applyBorder="1" applyAlignment="1">
      <alignment horizontal="center" vertical="center" wrapText="1"/>
    </xf>
    <xf numFmtId="7" fontId="7" fillId="4" borderId="7" xfId="7" applyFont="1" applyFill="1" applyBorder="1" applyAlignment="1">
      <alignment horizontal="center" vertical="center" wrapText="1"/>
    </xf>
    <xf numFmtId="165" fontId="7" fillId="4" borderId="5" xfId="6" applyFont="1" applyFill="1" applyBorder="1" applyAlignment="1">
      <alignment horizontal="center" vertical="center"/>
    </xf>
    <xf numFmtId="14" fontId="7" fillId="4" borderId="5" xfId="9" applyFont="1" applyFill="1" applyBorder="1" applyAlignment="1">
      <alignment horizontal="center" vertical="center" wrapText="1"/>
    </xf>
    <xf numFmtId="0" fontId="7" fillId="4" borderId="5" xfId="0" applyFont="1" applyFill="1" applyBorder="1" applyAlignment="1">
      <alignment horizontal="center" vertical="center" wrapText="1"/>
    </xf>
    <xf numFmtId="7" fontId="7" fillId="4" borderId="5" xfId="7" applyFont="1" applyFill="1" applyBorder="1" applyAlignment="1">
      <alignment horizontal="center" vertical="center" wrapText="1"/>
    </xf>
    <xf numFmtId="165" fontId="8" fillId="0" borderId="7" xfId="6" applyFont="1" applyFill="1" applyBorder="1" applyAlignment="1">
      <alignment horizontal="center" vertical="center"/>
    </xf>
    <xf numFmtId="0" fontId="8" fillId="0" borderId="7" xfId="0" applyFont="1" applyFill="1" applyBorder="1" applyAlignment="1">
      <alignment horizontal="left" vertical="center" wrapText="1" indent="2"/>
    </xf>
    <xf numFmtId="7" fontId="8" fillId="0" borderId="7" xfId="7" applyFont="1" applyFill="1" applyBorder="1" applyAlignment="1">
      <alignment horizontal="center" vertical="center" wrapText="1"/>
    </xf>
    <xf numFmtId="7" fontId="8" fillId="0" borderId="7" xfId="7" applyFont="1" applyFill="1" applyBorder="1" applyAlignment="1">
      <alignment horizontal="right" vertical="center" wrapText="1"/>
    </xf>
    <xf numFmtId="10" fontId="8" fillId="0" borderId="7" xfId="8"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0" xfId="0" applyFont="1" applyFill="1" applyBorder="1" applyAlignment="1">
      <alignment horizontal="left" vertical="center" wrapText="1" indent="2"/>
    </xf>
    <xf numFmtId="0" fontId="9" fillId="7" borderId="10" xfId="0" applyFont="1" applyFill="1" applyBorder="1" applyAlignment="1">
      <alignment horizontal="center" vertical="center" wrapText="1"/>
    </xf>
    <xf numFmtId="0" fontId="9" fillId="7" borderId="10" xfId="0" applyFont="1" applyFill="1" applyBorder="1">
      <alignment vertical="center" wrapText="1"/>
    </xf>
    <xf numFmtId="0" fontId="9" fillId="7" borderId="11" xfId="0" applyFont="1" applyFill="1" applyBorder="1">
      <alignment vertical="center" wrapText="1"/>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164" fontId="11" fillId="7" borderId="10" xfId="0" applyNumberFormat="1" applyFont="1" applyFill="1" applyBorder="1" applyAlignment="1">
      <alignment horizontal="center" vertical="center" wrapText="1"/>
    </xf>
    <xf numFmtId="0" fontId="11" fillId="7" borderId="11"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165" fontId="8" fillId="4" borderId="12" xfId="6" applyFont="1" applyFill="1" applyBorder="1" applyAlignment="1">
      <alignment horizontal="center" vertical="center"/>
    </xf>
    <xf numFmtId="14" fontId="8" fillId="4" borderId="12" xfId="9" applyFont="1" applyFill="1" applyBorder="1" applyAlignment="1">
      <alignment horizontal="center" vertical="center" wrapText="1"/>
    </xf>
    <xf numFmtId="165" fontId="8" fillId="4" borderId="12" xfId="6" applyFont="1" applyFill="1" applyBorder="1" applyAlignment="1">
      <alignment horizontal="center" vertical="center" wrapText="1"/>
    </xf>
    <xf numFmtId="0" fontId="8" fillId="4" borderId="12"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5" fillId="2" borderId="0" xfId="1" applyFont="1" applyFill="1" applyBorder="1" applyAlignment="1">
      <alignment horizontal="center" vertical="center"/>
    </xf>
    <xf numFmtId="0" fontId="0" fillId="0" borderId="0" xfId="0" applyFill="1">
      <alignment vertical="center" wrapText="1"/>
    </xf>
    <xf numFmtId="0" fontId="1" fillId="0" borderId="0" xfId="0" applyFont="1" applyBorder="1" applyAlignment="1">
      <alignment horizontal="center" vertical="center" wrapText="1"/>
    </xf>
    <xf numFmtId="14" fontId="1" fillId="0" borderId="0" xfId="0" applyNumberFormat="1" applyFont="1">
      <alignment vertical="center" wrapText="1"/>
    </xf>
    <xf numFmtId="7" fontId="17" fillId="0" borderId="5" xfId="7" applyNumberFormat="1" applyFont="1" applyFill="1" applyBorder="1" applyAlignment="1">
      <alignment horizontal="center" vertical="center" wrapText="1"/>
    </xf>
    <xf numFmtId="7" fontId="17" fillId="0" borderId="5" xfId="7" applyFont="1" applyFill="1" applyBorder="1" applyAlignment="1">
      <alignment horizontal="center" vertical="center" wrapText="1"/>
    </xf>
    <xf numFmtId="164" fontId="17" fillId="0" borderId="5" xfId="0" applyNumberFormat="1" applyFont="1" applyFill="1" applyBorder="1" applyAlignment="1">
      <alignment horizontal="center" vertical="center" wrapText="1"/>
    </xf>
    <xf numFmtId="7" fontId="16" fillId="0" borderId="13" xfId="7" applyFont="1" applyBorder="1" applyAlignment="1">
      <alignment horizontal="center" vertical="center" wrapText="1"/>
    </xf>
    <xf numFmtId="0" fontId="8" fillId="0" borderId="13" xfId="0" applyFont="1" applyBorder="1" applyAlignment="1">
      <alignment horizontal="center" vertical="center" wrapText="1"/>
    </xf>
    <xf numFmtId="165" fontId="16" fillId="3" borderId="5" xfId="6" applyFont="1" applyFill="1" applyBorder="1" applyAlignment="1">
      <alignment horizontal="center" vertical="center"/>
    </xf>
    <xf numFmtId="7" fontId="16" fillId="3" borderId="5" xfId="7" applyFont="1" applyFill="1" applyBorder="1" applyAlignment="1">
      <alignment horizontal="center" vertical="center" wrapText="1"/>
    </xf>
    <xf numFmtId="7" fontId="16" fillId="3" borderId="5" xfId="7" applyFont="1" applyFill="1" applyBorder="1" applyAlignment="1">
      <alignment horizontal="right" vertical="center" wrapText="1"/>
    </xf>
    <xf numFmtId="10" fontId="16" fillId="3" borderId="5" xfId="8" applyFont="1" applyFill="1" applyBorder="1" applyAlignment="1">
      <alignment horizontal="center" vertical="center" wrapText="1"/>
    </xf>
    <xf numFmtId="165" fontId="16" fillId="4" borderId="8" xfId="6" applyFont="1" applyFill="1" applyBorder="1" applyAlignment="1">
      <alignment horizontal="center" vertical="center"/>
    </xf>
    <xf numFmtId="14" fontId="16" fillId="0" borderId="8" xfId="9" applyFont="1" applyFill="1" applyBorder="1" applyAlignment="1">
      <alignment horizontal="center" vertical="center" wrapText="1"/>
    </xf>
    <xf numFmtId="165" fontId="16" fillId="4" borderId="8" xfId="6" applyFont="1" applyFill="1" applyBorder="1" applyAlignment="1">
      <alignment horizontal="center" vertical="center" wrapText="1"/>
    </xf>
    <xf numFmtId="0" fontId="16" fillId="4" borderId="8" xfId="0" applyFont="1" applyFill="1" applyBorder="1" applyAlignment="1">
      <alignment horizontal="center" vertical="center" wrapText="1"/>
    </xf>
    <xf numFmtId="7" fontId="16" fillId="4" borderId="8" xfId="7" applyFont="1" applyFill="1" applyBorder="1" applyAlignment="1">
      <alignment horizontal="center" vertical="center" wrapText="1"/>
    </xf>
    <xf numFmtId="7" fontId="16" fillId="0" borderId="8" xfId="7" applyFont="1" applyFill="1" applyBorder="1" applyAlignment="1">
      <alignment horizontal="center" vertical="center" wrapText="1"/>
    </xf>
    <xf numFmtId="14" fontId="8" fillId="0" borderId="8" xfId="9" applyFont="1" applyFill="1" applyBorder="1" applyAlignment="1">
      <alignment horizontal="center" vertical="center" wrapText="1"/>
    </xf>
    <xf numFmtId="164" fontId="8" fillId="4" borderId="12" xfId="9" applyNumberFormat="1" applyFont="1" applyFill="1" applyBorder="1" applyAlignment="1">
      <alignment horizontal="center" vertical="center" wrapText="1"/>
    </xf>
    <xf numFmtId="164" fontId="16" fillId="0" borderId="8" xfId="9" applyNumberFormat="1" applyFont="1" applyFill="1" applyBorder="1" applyAlignment="1">
      <alignment horizontal="center" vertical="center" wrapText="1"/>
    </xf>
    <xf numFmtId="0" fontId="0" fillId="0" borderId="0" xfId="0" applyAlignment="1">
      <alignment vertical="center"/>
    </xf>
    <xf numFmtId="165" fontId="16" fillId="0" borderId="8" xfId="6" applyFont="1" applyFill="1" applyBorder="1" applyAlignment="1">
      <alignment horizontal="center" vertical="center"/>
    </xf>
    <xf numFmtId="0" fontId="16" fillId="0" borderId="8" xfId="0" applyFont="1" applyBorder="1" applyAlignment="1">
      <alignment horizontal="center" vertical="center" wrapText="1"/>
    </xf>
    <xf numFmtId="0" fontId="8" fillId="0" borderId="8" xfId="0" applyFont="1" applyFill="1" applyBorder="1" applyAlignment="1">
      <alignment horizontal="center" vertical="center" wrapText="1"/>
    </xf>
    <xf numFmtId="165" fontId="8" fillId="0" borderId="8" xfId="6" applyFont="1" applyFill="1" applyBorder="1" applyAlignment="1">
      <alignment horizontal="center" vertical="center" wrapText="1"/>
    </xf>
    <xf numFmtId="165" fontId="16" fillId="0" borderId="8" xfId="6" applyFont="1" applyFill="1" applyBorder="1" applyAlignment="1">
      <alignment horizontal="center" vertical="center" wrapText="1"/>
    </xf>
    <xf numFmtId="0" fontId="16" fillId="0" borderId="8" xfId="0" applyFont="1" applyFill="1" applyBorder="1" applyAlignment="1">
      <alignment horizontal="center" vertical="center" wrapText="1"/>
    </xf>
    <xf numFmtId="7" fontId="8" fillId="0" borderId="8" xfId="7" applyFont="1" applyFill="1" applyBorder="1" applyAlignment="1">
      <alignment horizontal="center" vertical="center" wrapText="1"/>
    </xf>
    <xf numFmtId="0" fontId="16" fillId="0" borderId="12" xfId="0" applyFont="1" applyBorder="1" applyAlignment="1">
      <alignment horizontal="center" vertical="center" wrapText="1"/>
    </xf>
    <xf numFmtId="165" fontId="8" fillId="4" borderId="14" xfId="6" applyNumberFormat="1" applyFont="1" applyFill="1" applyBorder="1" applyAlignment="1">
      <alignment horizontal="center" vertical="center"/>
    </xf>
    <xf numFmtId="14" fontId="8" fillId="0" borderId="8" xfId="9" applyNumberFormat="1" applyFont="1" applyBorder="1" applyAlignment="1">
      <alignment horizontal="center" vertical="center" wrapText="1"/>
    </xf>
    <xf numFmtId="0" fontId="8" fillId="0" borderId="8" xfId="0" applyFont="1" applyBorder="1" applyAlignment="1">
      <alignment horizontal="center" vertical="center" wrapText="1"/>
    </xf>
    <xf numFmtId="7" fontId="8" fillId="4" borderId="8" xfId="7" applyNumberFormat="1" applyFont="1" applyFill="1" applyBorder="1" applyAlignment="1">
      <alignment horizontal="center" vertical="center" wrapText="1"/>
    </xf>
    <xf numFmtId="14" fontId="8" fillId="8" borderId="8" xfId="9" applyNumberFormat="1"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0" borderId="15" xfId="0" applyFont="1" applyBorder="1" applyAlignment="1">
      <alignment horizontal="center" vertical="center" wrapText="1"/>
    </xf>
    <xf numFmtId="7" fontId="8" fillId="0" borderId="15" xfId="7" applyNumberFormat="1" applyFont="1" applyBorder="1" applyAlignment="1">
      <alignment horizontal="center" vertical="center" wrapText="1"/>
    </xf>
    <xf numFmtId="0" fontId="0" fillId="0" borderId="0" xfId="0" pivotButton="1">
      <alignment vertical="center" wrapText="1"/>
    </xf>
    <xf numFmtId="0" fontId="0" fillId="0" borderId="0" xfId="0" applyAlignment="1">
      <alignment horizontal="left" vertical="center" wrapText="1"/>
    </xf>
    <xf numFmtId="0" fontId="0" fillId="0" borderId="0" xfId="0" applyNumberFormat="1">
      <alignment vertical="center" wrapText="1"/>
    </xf>
    <xf numFmtId="165" fontId="16" fillId="0" borderId="13" xfId="6" applyFont="1" applyBorder="1" applyAlignment="1">
      <alignment horizontal="center" vertical="center" wrapText="1"/>
    </xf>
    <xf numFmtId="14" fontId="16" fillId="0" borderId="13" xfId="9" applyFont="1" applyFill="1" applyBorder="1" applyAlignment="1">
      <alignment horizontal="center" vertical="center" wrapText="1"/>
    </xf>
    <xf numFmtId="0" fontId="16" fillId="0" borderId="13" xfId="0" applyFont="1" applyBorder="1" applyAlignment="1">
      <alignment horizontal="center" vertical="center" wrapText="1"/>
    </xf>
    <xf numFmtId="7" fontId="16" fillId="0" borderId="8" xfId="7" applyFont="1" applyBorder="1" applyAlignment="1">
      <alignment horizontal="center" vertical="center" wrapText="1"/>
    </xf>
    <xf numFmtId="0" fontId="8" fillId="0" borderId="13" xfId="0" applyFont="1" applyFill="1" applyBorder="1" applyAlignment="1">
      <alignment horizontal="center" vertical="center" wrapText="1"/>
    </xf>
    <xf numFmtId="165" fontId="18" fillId="0" borderId="8" xfId="6" applyFont="1" applyBorder="1" applyAlignment="1">
      <alignment horizontal="center" vertical="center" wrapText="1"/>
    </xf>
    <xf numFmtId="14" fontId="18" fillId="0" borderId="8" xfId="9" applyFont="1" applyFill="1" applyBorder="1" applyAlignment="1">
      <alignment horizontal="center" vertical="center" wrapText="1"/>
    </xf>
    <xf numFmtId="0" fontId="18" fillId="0" borderId="8" xfId="0" applyFont="1" applyBorder="1" applyAlignment="1">
      <alignment horizontal="center" vertical="center" wrapText="1"/>
    </xf>
    <xf numFmtId="7" fontId="18" fillId="0" borderId="8" xfId="7" applyFont="1" applyBorder="1" applyAlignment="1">
      <alignment horizontal="center" vertical="center" wrapText="1"/>
    </xf>
    <xf numFmtId="164" fontId="18" fillId="0" borderId="8" xfId="9" applyNumberFormat="1" applyFont="1" applyFill="1" applyBorder="1" applyAlignment="1">
      <alignment horizontal="center" vertical="center" wrapText="1"/>
    </xf>
    <xf numFmtId="165" fontId="16" fillId="9" borderId="5" xfId="6" applyFont="1" applyFill="1" applyBorder="1" applyAlignment="1">
      <alignment horizontal="center" vertical="center"/>
    </xf>
    <xf numFmtId="0" fontId="8" fillId="9" borderId="5" xfId="0" applyFont="1" applyFill="1" applyBorder="1" applyAlignment="1">
      <alignment horizontal="left" vertical="center" wrapText="1" indent="2"/>
    </xf>
    <xf numFmtId="7" fontId="16" fillId="9" borderId="5" xfId="7" applyFont="1" applyFill="1" applyBorder="1" applyAlignment="1">
      <alignment horizontal="center" vertical="center" wrapText="1"/>
    </xf>
    <xf numFmtId="165" fontId="8" fillId="4" borderId="8" xfId="6" applyFont="1" applyFill="1" applyBorder="1" applyAlignment="1">
      <alignment horizontal="center" vertical="center"/>
    </xf>
    <xf numFmtId="14" fontId="8" fillId="0" borderId="8" xfId="9" applyFont="1" applyBorder="1" applyAlignment="1">
      <alignment horizontal="center" vertical="center" wrapText="1"/>
    </xf>
    <xf numFmtId="7" fontId="8" fillId="4" borderId="8" xfId="7" applyFont="1" applyFill="1" applyBorder="1" applyAlignment="1">
      <alignment horizontal="center" vertical="center" wrapText="1"/>
    </xf>
    <xf numFmtId="164" fontId="8" fillId="0" borderId="8" xfId="9" applyNumberFormat="1" applyFont="1" applyBorder="1" applyAlignment="1">
      <alignment horizontal="center" vertical="center" wrapText="1"/>
    </xf>
    <xf numFmtId="165" fontId="8" fillId="0" borderId="8" xfId="6" applyFont="1" applyFill="1" applyBorder="1" applyAlignment="1">
      <alignment horizontal="center" vertical="center"/>
    </xf>
    <xf numFmtId="0" fontId="15" fillId="2" borderId="0" xfId="1" applyFont="1" applyFill="1" applyBorder="1" applyAlignment="1">
      <alignment horizontal="center" vertical="center"/>
    </xf>
    <xf numFmtId="0" fontId="14" fillId="6" borderId="0" xfId="2" applyFont="1" applyFill="1" applyBorder="1" applyAlignment="1">
      <alignment vertical="center"/>
    </xf>
    <xf numFmtId="0" fontId="13" fillId="6" borderId="0" xfId="2" applyFont="1" applyFill="1" applyBorder="1" applyAlignment="1">
      <alignment vertical="center"/>
    </xf>
    <xf numFmtId="0" fontId="0" fillId="3" borderId="0" xfId="0" applyFill="1" applyBorder="1" applyAlignment="1">
      <alignment horizontal="center" vertical="center" wrapText="1"/>
    </xf>
    <xf numFmtId="0" fontId="13" fillId="5" borderId="0" xfId="3" applyFont="1" applyFill="1" applyBorder="1" applyAlignment="1">
      <alignment horizontal="left" vertical="center"/>
    </xf>
    <xf numFmtId="0" fontId="7" fillId="3" borderId="0" xfId="0" applyFont="1" applyFill="1" applyBorder="1" applyAlignment="1">
      <alignment horizontal="center" vertical="center" wrapText="1"/>
    </xf>
    <xf numFmtId="0" fontId="13" fillId="5" borderId="0" xfId="4" applyFont="1" applyFill="1" applyBorder="1" applyAlignment="1">
      <alignment vertical="center"/>
    </xf>
  </cellXfs>
  <cellStyles count="10">
    <cellStyle name="Comma" xfId="6" builtinId="3" customBuiltin="1"/>
    <cellStyle name="Currency [0]" xfId="7" builtinId="7" customBuiltin="1"/>
    <cellStyle name="Date" xfId="9" xr:uid="{00000000-0005-0000-0000-000002000000}"/>
    <cellStyle name="Heading 1" xfId="1" builtinId="16" customBuiltin="1"/>
    <cellStyle name="Heading 2" xfId="2" builtinId="17" customBuiltin="1"/>
    <cellStyle name="Heading 3" xfId="3" builtinId="18" customBuiltin="1"/>
    <cellStyle name="Heading 4" xfId="4" builtinId="19" customBuiltin="1"/>
    <cellStyle name="Hyperlink" xfId="5" builtinId="8"/>
    <cellStyle name="Normal" xfId="0" builtinId="0" customBuiltin="1"/>
    <cellStyle name="Percent" xfId="8" builtinId="5" customBuiltin="1"/>
  </cellStyles>
  <dxfs count="124">
    <dxf>
      <fill>
        <patternFill>
          <bgColor theme="0"/>
        </patternFill>
      </fill>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strike val="0"/>
        <outline val="0"/>
        <shadow val="0"/>
        <u val="none"/>
        <vertAlign val="baseline"/>
        <sz val="11"/>
        <color theme="1" tint="-0.249977111117893"/>
        <name val="Gill Sans MT"/>
        <scheme val="none"/>
      </font>
      <numFmt numFmtId="164" formatCode="&quot;$&quot;#,##0.00"/>
      <alignment horizontal="center" vertical="center" textRotation="0" indent="0" justifyLastLine="0" shrinkToFit="0"/>
      <border diagonalUp="0" diagonalDown="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border>
        <top style="thin">
          <color theme="7" tint="0.39994506668294322"/>
        </top>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sz val="11"/>
        <color theme="1" tint="-0.249977111117893"/>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0"/>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77111117893"/>
        <name val="Gill Sans MT"/>
        <scheme val="none"/>
      </font>
      <fill>
        <patternFill patternType="solid">
          <fgColor indexed="64"/>
          <bgColor theme="0" tint="-4.9989318521683403E-2"/>
        </patternFill>
      </fill>
      <alignment horizontal="left" vertical="center" textRotation="0" wrapText="1" indent="2"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77111117893"/>
        <name val="Gill Sans MT"/>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border>
        <top style="thin">
          <color theme="0" tint="-0.34998626667073579"/>
        </top>
      </border>
    </dxf>
    <dxf>
      <font>
        <strike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i val="0"/>
        <strike val="0"/>
        <condense val="0"/>
        <extend val="0"/>
        <outline val="0"/>
        <shadow val="0"/>
        <u val="none"/>
        <vertAlign val="baseline"/>
        <sz val="12"/>
        <color theme="1"/>
        <name val="Gill Sans MT"/>
        <family val="2"/>
        <scheme val="none"/>
      </font>
      <numFmt numFmtId="14" formatCode="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2"/>
        <color theme="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77111117893"/>
        <name val="Gill Sans MT"/>
        <scheme val="none"/>
      </font>
      <alignment horizontal="right"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2"/>
        <color theme="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2"/>
        <color theme="1"/>
        <name val="Gill Sans MT"/>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2"/>
        <color theme="1"/>
        <name val="Gill Sans MT"/>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77111117893"/>
        <name val="Gill Sans MT"/>
        <scheme val="none"/>
      </font>
      <alignment horizontal="left" vertical="center" textRotation="0" wrapText="1" indent="2"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2"/>
        <color theme="1"/>
        <name val="Gill Sans MT"/>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dxf>
    <dxf>
      <border>
        <bottom style="thin">
          <color rgb="FF2F2F2F"/>
        </bottom>
      </border>
    </dxf>
    <dxf>
      <font>
        <strike val="0"/>
        <outline val="0"/>
        <shadow val="0"/>
        <u val="none"/>
        <vertAlign val="baseline"/>
        <sz val="12"/>
        <color theme="0" tint="-4.9989318521683403E-2"/>
        <name val="Gill Sans MT"/>
        <scheme val="none"/>
      </font>
      <fill>
        <patternFill patternType="solid">
          <fgColor indexed="64"/>
          <bgColor rgb="FF002060"/>
        </patternFill>
      </fill>
      <border diagonalUp="0" diagonalDown="0">
        <left/>
        <right/>
        <top/>
        <bottom/>
        <vertical/>
        <horizontal/>
      </border>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left>
        <right style="thin">
          <color theme="9"/>
        </right>
        <top style="thin">
          <color theme="9"/>
        </top>
        <bottom style="thin">
          <color theme="9"/>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gradientFill degree="90">
          <stop position="0">
            <color theme="5" tint="-0.49803155613879818"/>
          </stop>
          <stop position="1">
            <color theme="5" tint="-0.25098422193060094"/>
          </stop>
        </gradientFill>
      </fill>
    </dxf>
    <dxf>
      <font>
        <color theme="1"/>
      </font>
      <border>
        <left style="thin">
          <color theme="5"/>
        </left>
        <right style="thin">
          <color theme="5"/>
        </right>
        <top style="thin">
          <color theme="5"/>
        </top>
        <bottom style="thin">
          <color theme="5"/>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gradientFill degree="90">
          <stop position="0">
            <color theme="6" tint="-0.49803155613879818"/>
          </stop>
          <stop position="1">
            <color theme="6" tint="-0.25098422193060094"/>
          </stop>
        </gradient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gradientFill degree="90">
          <stop position="0">
            <color theme="4" tint="-0.49803155613879818"/>
          </stop>
          <stop position="1">
            <color theme="4" tint="-0.25098422193060094"/>
          </stop>
        </gradient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8" defaultTableStyle="TableStyleMedium2" defaultPivotStyle="PivotStyleLight16">
    <tableStyle name="Charitables &amp; Sponsorships" pivot="0" count="7" xr9:uid="{00000000-0011-0000-FFFF-FFFF00000000}">
      <tableStyleElement type="wholeTable" dxfId="123"/>
      <tableStyleElement type="headerRow" dxfId="122"/>
      <tableStyleElement type="totalRow" dxfId="121"/>
      <tableStyleElement type="firstColumn" dxfId="120"/>
      <tableStyleElement type="lastColumn" dxfId="119"/>
      <tableStyleElement type="firstRowStripe" dxfId="118"/>
      <tableStyleElement type="firstColumnStripe" dxfId="117"/>
    </tableStyle>
    <tableStyle name="Itemized Expenses" pivot="0" count="7" xr9:uid="{00000000-0011-0000-FFFF-FFFF01000000}">
      <tableStyleElement type="wholeTable" dxfId="116"/>
      <tableStyleElement type="headerRow" dxfId="115"/>
      <tableStyleElement type="totalRow" dxfId="114"/>
      <tableStyleElement type="firstColumn" dxfId="113"/>
      <tableStyleElement type="lastColumn" dxfId="112"/>
      <tableStyleElement type="firstRowStripe" dxfId="111"/>
      <tableStyleElement type="firstColumnStripe" dxfId="110"/>
    </tableStyle>
    <tableStyle name="Monthly Expenses Summary" pivot="0" count="9" xr9:uid="{00000000-0011-0000-FFFF-FFFF02000000}">
      <tableStyleElement type="wholeTable" dxfId="109"/>
      <tableStyleElement type="headerRow" dxfId="108"/>
      <tableStyleElement type="totalRow" dxfId="107"/>
      <tableStyleElement type="firstColumn" dxfId="106"/>
      <tableStyleElement type="lastColumn" dxfId="105"/>
      <tableStyleElement type="firstRowStripe" dxfId="104"/>
      <tableStyleElement type="secondRowStripe" dxfId="103"/>
      <tableStyleElement type="firstColumnStripe" dxfId="102"/>
      <tableStyleElement type="secondColumnStripe" dxfId="101"/>
    </tableStyle>
    <tableStyle name="Slicer Charitables &amp; Sponsorships" pivot="0" table="0" count="10" xr9:uid="{00000000-0011-0000-FFFF-FFFF03000000}">
      <tableStyleElement type="wholeTable" dxfId="100"/>
      <tableStyleElement type="headerRow" dxfId="99"/>
    </tableStyle>
    <tableStyle name="Slicer Itemized Expenses" pivot="0" table="0" count="10" xr9:uid="{00000000-0011-0000-FFFF-FFFF04000000}">
      <tableStyleElement type="wholeTable" dxfId="98"/>
      <tableStyleElement type="headerRow" dxfId="97"/>
    </tableStyle>
    <tableStyle name="Slicer Monthly Expenses Summary" pivot="0" table="0" count="10" xr9:uid="{00000000-0011-0000-FFFF-FFFF05000000}">
      <tableStyleElement type="wholeTable" dxfId="96"/>
      <tableStyleElement type="headerRow" dxfId="95"/>
    </tableStyle>
    <tableStyle name="SlicerStyleDark4 2" pivot="0" table="0" count="10" xr9:uid="{00000000-0011-0000-FFFF-FFFF06000000}">
      <tableStyleElement type="wholeTable" dxfId="94"/>
      <tableStyleElement type="headerRow" dxfId="93"/>
    </tableStyle>
    <tableStyle name="YTD Budget Summary" pivot="0" count="9" xr9:uid="{00000000-0011-0000-FFFF-FFFF07000000}">
      <tableStyleElement type="wholeTable" dxfId="92"/>
      <tableStyleElement type="headerRow" dxfId="91"/>
      <tableStyleElement type="totalRow" dxfId="90"/>
      <tableStyleElement type="firstColumn" dxfId="89"/>
      <tableStyleElement type="lastColumn" dxfId="88"/>
      <tableStyleElement type="firstRowStripe" dxfId="87"/>
      <tableStyleElement type="secondRowStripe" dxfId="86"/>
      <tableStyleElement type="firstColumnStripe" dxfId="85"/>
      <tableStyleElement type="secondColumnStripe" dxfId="84"/>
    </tableStyle>
  </tableStyles>
  <colors>
    <mruColors>
      <color rgb="FF2F2F2F"/>
      <color rgb="FFDE684D"/>
      <color rgb="FFDB684D"/>
      <color rgb="FFD6684D"/>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07/relationships/slicerCache" Target="slicerCaches/slicerCache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7/relationships/slicerCache" Target="slicerCaches/slicerCache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2.xml"/><Relationship Id="rId19" Type="http://schemas.openxmlformats.org/officeDocument/2006/relationships/customXml" Target="../customXml/item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MONTHLY EXPENSES SUMMARY'!A1"/></Relationships>
</file>

<file path=xl/drawings/_rels/drawing2.xml.rels><?xml version="1.0" encoding="UTF-8" standalone="yes"?>
<Relationships xmlns="http://schemas.openxmlformats.org/package/2006/relationships"><Relationship Id="rId3" Type="http://schemas.openxmlformats.org/officeDocument/2006/relationships/hyperlink" Target="#'ITEMIZED EXPENSES'!A1"/><Relationship Id="rId2" Type="http://schemas.openxmlformats.org/officeDocument/2006/relationships/hyperlink" Target="#'YTD BUDGET SUMMARY'!A1"/><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hyperlink" Target="#'CHARITABLES &amp; SPONSORSHIPS'!A1"/><Relationship Id="rId1" Type="http://schemas.openxmlformats.org/officeDocument/2006/relationships/hyperlink" Target="#'MONTHLY EXPENSES SUMMARY'!A1"/></Relationships>
</file>

<file path=xl/drawings/_rels/drawing4.xml.rels><?xml version="1.0" encoding="UTF-8" standalone="yes"?>
<Relationships xmlns="http://schemas.openxmlformats.org/package/2006/relationships"><Relationship Id="rId1" Type="http://schemas.openxmlformats.org/officeDocument/2006/relationships/hyperlink" Target="#'ITEMIZED EXPENSES'!A1"/></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167640</xdr:rowOff>
    </xdr:from>
    <xdr:to>
      <xdr:col>2</xdr:col>
      <xdr:colOff>727075</xdr:colOff>
      <xdr:row>0</xdr:row>
      <xdr:rowOff>452755</xdr:rowOff>
    </xdr:to>
    <xdr:sp macro="" textlink="">
      <xdr:nvSpPr>
        <xdr:cNvPr id="4" name="Right Arrow 1" descr="Right navigation button">
          <a:hlinkClick xmlns:r="http://schemas.openxmlformats.org/officeDocument/2006/relationships" r:id="rId1" tooltip="Select to navigate to MONTHLY EXPENSES SUMMARY worksheet"/>
          <a:extLst>
            <a:ext uri="{FF2B5EF4-FFF2-40B4-BE49-F238E27FC236}">
              <a16:creationId xmlns:a16="http://schemas.microsoft.com/office/drawing/2014/main" id="{A2F25B9E-1F9C-4FA0-9FF6-E8F206FC0CA1}"/>
            </a:ext>
          </a:extLst>
        </xdr:cNvPr>
        <xdr:cNvSpPr/>
      </xdr:nvSpPr>
      <xdr:spPr>
        <a:xfrm>
          <a:off x="1028700" y="167640"/>
          <a:ext cx="731520" cy="274320"/>
        </a:xfrm>
        <a:prstGeom prst="rightArrow">
          <a:avLst>
            <a:gd name="adj1" fmla="val 100000"/>
            <a:gd name="adj2" fmla="val 59091"/>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NEXT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2</xdr:row>
      <xdr:rowOff>19051</xdr:rowOff>
    </xdr:from>
    <xdr:to>
      <xdr:col>16</xdr:col>
      <xdr:colOff>44450</xdr:colOff>
      <xdr:row>3</xdr:row>
      <xdr:rowOff>431800</xdr:rowOff>
    </xdr:to>
    <mc:AlternateContent xmlns:mc="http://schemas.openxmlformats.org/markup-compatibility/2006" xmlns:sle15="http://schemas.microsoft.com/office/drawing/2012/slicer">
      <mc:Choice Requires="sle15">
        <xdr:graphicFrame macro="">
          <xdr:nvGraphicFramePr>
            <xdr:cNvPr id="3" name="Account Title" descr="Filter monthly expenses summary by the Account Title field">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Account Title"/>
            </a:graphicData>
          </a:graphic>
        </xdr:graphicFrame>
      </mc:Choice>
      <mc:Fallback xmlns="">
        <xdr:sp macro="" textlink="">
          <xdr:nvSpPr>
            <xdr:cNvPr id="2" name="Rectangle 1"/>
            <xdr:cNvSpPr>
              <a:spLocks noTextEdit="1"/>
            </xdr:cNvSpPr>
          </xdr:nvSpPr>
          <xdr:spPr>
            <a:xfrm>
              <a:off x="190500" y="1974851"/>
              <a:ext cx="15735300" cy="704849"/>
            </a:xfrm>
            <a:prstGeom prst="rect">
              <a:avLst/>
            </a:prstGeom>
            <a:solidFill>
              <a:schemeClr val="bg1">
                <a:lumMod val="95000"/>
              </a:schemeClr>
            </a:solidFill>
            <a:ln w="1">
              <a:noFill/>
            </a:ln>
          </xdr:spPr>
          <xdr:txBody>
            <a:bodyPr vertOverflow="clip" horzOverflow="clip" anchor="ctr"/>
            <a:lstStyle/>
            <a:p>
              <a:r>
                <a:rPr lang="en-IN" sz="1100" i="0">
                  <a:solidFill>
                    <a:schemeClr val="tx1">
                      <a:lumMod val="75000"/>
                    </a:schemeClr>
                  </a:solidFill>
                  <a:latin typeface="Gill Sans MT" charset="0"/>
                  <a:ea typeface="Gill Sans MT" charset="0"/>
                  <a:cs typeface="Gill Sans MT" charset="0"/>
                </a:rPr>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8</xdr:col>
      <xdr:colOff>434459</xdr:colOff>
      <xdr:row>1</xdr:row>
      <xdr:rowOff>12700</xdr:rowOff>
    </xdr:from>
    <xdr:to>
      <xdr:col>17</xdr:col>
      <xdr:colOff>15960</xdr:colOff>
      <xdr:row>2</xdr:row>
      <xdr:rowOff>12700</xdr:rowOff>
    </xdr:to>
    <xdr:pic>
      <xdr:nvPicPr>
        <xdr:cNvPr id="8" name="Picture 7" descr="fingers pointing to a sheet of paper with a bar chart and a line graph">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7736959" y="558800"/>
          <a:ext cx="8179401" cy="1943100"/>
        </a:xfrm>
        <a:prstGeom prst="rect">
          <a:avLst/>
        </a:prstGeom>
      </xdr:spPr>
    </xdr:pic>
    <xdr:clientData/>
  </xdr:twoCellAnchor>
  <xdr:twoCellAnchor editAs="oneCell">
    <xdr:from>
      <xdr:col>1</xdr:col>
      <xdr:colOff>0</xdr:colOff>
      <xdr:row>0</xdr:row>
      <xdr:rowOff>167640</xdr:rowOff>
    </xdr:from>
    <xdr:to>
      <xdr:col>1</xdr:col>
      <xdr:colOff>731520</xdr:colOff>
      <xdr:row>0</xdr:row>
      <xdr:rowOff>441960</xdr:rowOff>
    </xdr:to>
    <xdr:sp macro="" textlink="">
      <xdr:nvSpPr>
        <xdr:cNvPr id="6" name="Left Arrow 4" descr="Left navigation button">
          <a:hlinkClick xmlns:r="http://schemas.openxmlformats.org/officeDocument/2006/relationships" r:id="rId2" tooltip="Select to navigate to YTD BUDGET SUMMARY worksheet"/>
          <a:extLst>
            <a:ext uri="{FF2B5EF4-FFF2-40B4-BE49-F238E27FC236}">
              <a16:creationId xmlns:a16="http://schemas.microsoft.com/office/drawing/2014/main" id="{E95A5DF3-CD0F-493D-A7FC-4C7CD2BE6987}"/>
            </a:ext>
          </a:extLst>
        </xdr:cNvPr>
        <xdr:cNvSpPr/>
      </xdr:nvSpPr>
      <xdr:spPr>
        <a:xfrm>
          <a:off x="182880" y="167640"/>
          <a:ext cx="731520" cy="274320"/>
        </a:xfrm>
        <a:prstGeom prst="leftArrow">
          <a:avLst>
            <a:gd name="adj1" fmla="val 100000"/>
            <a:gd name="adj2" fmla="val 50000"/>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PREV</a:t>
          </a:r>
        </a:p>
      </xdr:txBody>
    </xdr:sp>
    <xdr:clientData fPrintsWithSheet="0"/>
  </xdr:twoCellAnchor>
  <xdr:twoCellAnchor editAs="oneCell">
    <xdr:from>
      <xdr:col>1</xdr:col>
      <xdr:colOff>845819</xdr:colOff>
      <xdr:row>0</xdr:row>
      <xdr:rowOff>167640</xdr:rowOff>
    </xdr:from>
    <xdr:to>
      <xdr:col>2</xdr:col>
      <xdr:colOff>731519</xdr:colOff>
      <xdr:row>0</xdr:row>
      <xdr:rowOff>441960</xdr:rowOff>
    </xdr:to>
    <xdr:sp macro="" textlink="">
      <xdr:nvSpPr>
        <xdr:cNvPr id="7" name="Right Arrow 3" descr="Right navigation button">
          <a:hlinkClick xmlns:r="http://schemas.openxmlformats.org/officeDocument/2006/relationships" r:id="rId3" tooltip="Select to navigate to ITEMIZED EXPENSES worksheet"/>
          <a:extLst>
            <a:ext uri="{FF2B5EF4-FFF2-40B4-BE49-F238E27FC236}">
              <a16:creationId xmlns:a16="http://schemas.microsoft.com/office/drawing/2014/main" id="{905DABCC-166E-4E40-ABFD-B9AB1276B6E2}"/>
            </a:ext>
          </a:extLst>
        </xdr:cNvPr>
        <xdr:cNvSpPr/>
      </xdr:nvSpPr>
      <xdr:spPr>
        <a:xfrm>
          <a:off x="1028699" y="167640"/>
          <a:ext cx="731520" cy="274320"/>
        </a:xfrm>
        <a:prstGeom prst="rightArrow">
          <a:avLst>
            <a:gd name="adj1" fmla="val 100000"/>
            <a:gd name="adj2" fmla="val 59091"/>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NEXT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163830</xdr:rowOff>
    </xdr:from>
    <xdr:to>
      <xdr:col>1</xdr:col>
      <xdr:colOff>727710</xdr:colOff>
      <xdr:row>0</xdr:row>
      <xdr:rowOff>453390</xdr:rowOff>
    </xdr:to>
    <xdr:sp macro="" textlink="">
      <xdr:nvSpPr>
        <xdr:cNvPr id="6" name="Left Arrow 8" descr="Left navigation button">
          <a:hlinkClick xmlns:r="http://schemas.openxmlformats.org/officeDocument/2006/relationships" r:id="rId1" tooltip="Select to navigate to MONTHLY EXPENSES SUMMARY worksheet"/>
          <a:extLst>
            <a:ext uri="{FF2B5EF4-FFF2-40B4-BE49-F238E27FC236}">
              <a16:creationId xmlns:a16="http://schemas.microsoft.com/office/drawing/2014/main" id="{C73DCBEF-D9FA-437D-96E6-AA3A4598F772}"/>
            </a:ext>
          </a:extLst>
        </xdr:cNvPr>
        <xdr:cNvSpPr/>
      </xdr:nvSpPr>
      <xdr:spPr>
        <a:xfrm>
          <a:off x="182880" y="163830"/>
          <a:ext cx="731520" cy="274320"/>
        </a:xfrm>
        <a:prstGeom prst="leftArrow">
          <a:avLst>
            <a:gd name="adj1" fmla="val 10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PREV</a:t>
          </a:r>
        </a:p>
      </xdr:txBody>
    </xdr:sp>
    <xdr:clientData fPrintsWithSheet="0"/>
  </xdr:twoCellAnchor>
  <xdr:twoCellAnchor editAs="oneCell">
    <xdr:from>
      <xdr:col>2</xdr:col>
      <xdr:colOff>0</xdr:colOff>
      <xdr:row>0</xdr:row>
      <xdr:rowOff>163830</xdr:rowOff>
    </xdr:from>
    <xdr:to>
      <xdr:col>2</xdr:col>
      <xdr:colOff>727710</xdr:colOff>
      <xdr:row>0</xdr:row>
      <xdr:rowOff>453390</xdr:rowOff>
    </xdr:to>
    <xdr:sp macro="" textlink="">
      <xdr:nvSpPr>
        <xdr:cNvPr id="7" name="Right Arrow 7" descr="Right navigation button">
          <a:hlinkClick xmlns:r="http://schemas.openxmlformats.org/officeDocument/2006/relationships" r:id="rId2" tooltip="Select to navigate to CHARITABLES &amp; SPONSORSHIPS worksheet"/>
          <a:extLst>
            <a:ext uri="{FF2B5EF4-FFF2-40B4-BE49-F238E27FC236}">
              <a16:creationId xmlns:a16="http://schemas.microsoft.com/office/drawing/2014/main" id="{97F0CB6F-94CE-461E-AB25-E2B12DF600B2}"/>
            </a:ext>
          </a:extLst>
        </xdr:cNvPr>
        <xdr:cNvSpPr/>
      </xdr:nvSpPr>
      <xdr:spPr>
        <a:xfrm>
          <a:off x="1028700" y="163830"/>
          <a:ext cx="731520" cy="274320"/>
        </a:xfrm>
        <a:prstGeom prst="rightArrow">
          <a:avLst>
            <a:gd name="adj1" fmla="val 100000"/>
            <a:gd name="adj2" fmla="val 5909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NEXT</a:t>
          </a:r>
        </a:p>
      </xdr:txBody>
    </xdr:sp>
    <xdr:clientData fPrintsWithSheet="0"/>
  </xdr:twoCellAnchor>
  <xdr:twoCellAnchor editAs="absolute">
    <xdr:from>
      <xdr:col>1</xdr:col>
      <xdr:colOff>32385</xdr:colOff>
      <xdr:row>2</xdr:row>
      <xdr:rowOff>3810</xdr:rowOff>
    </xdr:from>
    <xdr:to>
      <xdr:col>6</xdr:col>
      <xdr:colOff>3175</xdr:colOff>
      <xdr:row>3</xdr:row>
      <xdr:rowOff>847</xdr:rowOff>
    </xdr:to>
    <mc:AlternateContent xmlns:mc="http://schemas.openxmlformats.org/markup-compatibility/2006" xmlns:sle15="http://schemas.microsoft.com/office/drawing/2012/slicer">
      <mc:Choice Requires="sle15">
        <xdr:graphicFrame macro="">
          <xdr:nvGraphicFramePr>
            <xdr:cNvPr id="2" name="Requested by">
              <a:extLst>
                <a:ext uri="{FF2B5EF4-FFF2-40B4-BE49-F238E27FC236}">
                  <a16:creationId xmlns:a16="http://schemas.microsoft.com/office/drawing/2014/main" id="{05514A11-CD78-4D8C-AEE2-DFFDBCB609F1}"/>
                </a:ext>
              </a:extLst>
            </xdr:cNvPr>
            <xdr:cNvGraphicFramePr/>
          </xdr:nvGraphicFramePr>
          <xdr:xfrm>
            <a:off x="0" y="0"/>
            <a:ext cx="0" cy="0"/>
          </xdr:xfrm>
          <a:graphic>
            <a:graphicData uri="http://schemas.microsoft.com/office/drawing/2010/slicer">
              <sle:slicer xmlns:sle="http://schemas.microsoft.com/office/drawing/2010/slicer" name="Requested by"/>
            </a:graphicData>
          </a:graphic>
        </xdr:graphicFrame>
      </mc:Choice>
      <mc:Fallback xmlns="">
        <xdr:sp macro="" textlink="">
          <xdr:nvSpPr>
            <xdr:cNvPr id="0" name=""/>
            <xdr:cNvSpPr>
              <a:spLocks noTextEdit="1"/>
            </xdr:cNvSpPr>
          </xdr:nvSpPr>
          <xdr:spPr>
            <a:xfrm>
              <a:off x="198120" y="1463040"/>
              <a:ext cx="5646420" cy="103632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41275</xdr:colOff>
      <xdr:row>2</xdr:row>
      <xdr:rowOff>0</xdr:rowOff>
    </xdr:from>
    <xdr:to>
      <xdr:col>9</xdr:col>
      <xdr:colOff>949325</xdr:colOff>
      <xdr:row>3</xdr:row>
      <xdr:rowOff>281</xdr:rowOff>
    </xdr:to>
    <mc:AlternateContent xmlns:mc="http://schemas.openxmlformats.org/markup-compatibility/2006" xmlns:sle15="http://schemas.microsoft.com/office/drawing/2012/slicer">
      <mc:Choice Requires="sle15">
        <xdr:graphicFrame macro="">
          <xdr:nvGraphicFramePr>
            <xdr:cNvPr id="3" name="Payee">
              <a:extLst>
                <a:ext uri="{FF2B5EF4-FFF2-40B4-BE49-F238E27FC236}">
                  <a16:creationId xmlns:a16="http://schemas.microsoft.com/office/drawing/2014/main" id="{1686AF84-1D10-4109-87B0-A4845AA84E68}"/>
                </a:ext>
              </a:extLst>
            </xdr:cNvPr>
            <xdr:cNvGraphicFramePr/>
          </xdr:nvGraphicFramePr>
          <xdr:xfrm>
            <a:off x="0" y="0"/>
            <a:ext cx="0" cy="0"/>
          </xdr:xfrm>
          <a:graphic>
            <a:graphicData uri="http://schemas.microsoft.com/office/drawing/2010/slicer">
              <sle:slicer xmlns:sle="http://schemas.microsoft.com/office/drawing/2010/slicer" name="Payee"/>
            </a:graphicData>
          </a:graphic>
        </xdr:graphicFrame>
      </mc:Choice>
      <mc:Fallback xmlns="">
        <xdr:sp macro="" textlink="">
          <xdr:nvSpPr>
            <xdr:cNvPr id="0" name=""/>
            <xdr:cNvSpPr>
              <a:spLocks noTextEdit="1"/>
            </xdr:cNvSpPr>
          </xdr:nvSpPr>
          <xdr:spPr>
            <a:xfrm>
              <a:off x="5890260" y="1455420"/>
              <a:ext cx="5471160" cy="10515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2</xdr:row>
      <xdr:rowOff>57150</xdr:rowOff>
    </xdr:from>
    <xdr:to>
      <xdr:col>6</xdr:col>
      <xdr:colOff>66676</xdr:colOff>
      <xdr:row>2</xdr:row>
      <xdr:rowOff>942975</xdr:rowOff>
    </xdr:to>
    <mc:AlternateContent xmlns:mc="http://schemas.openxmlformats.org/markup-compatibility/2006" xmlns:sle15="http://schemas.microsoft.com/office/drawing/2012/slicer">
      <mc:Choice Requires="sle15">
        <xdr:graphicFrame macro="">
          <xdr:nvGraphicFramePr>
            <xdr:cNvPr id="4" name="Requested by 1" descr="Filter charitables and sponsorships by the Requested By field">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Requested by 1"/>
            </a:graphicData>
          </a:graphic>
        </xdr:graphicFrame>
      </mc:Choice>
      <mc:Fallback xmlns="">
        <xdr:sp macro="" textlink="">
          <xdr:nvSpPr>
            <xdr:cNvPr id="2" name="Rectangle 1"/>
            <xdr:cNvSpPr>
              <a:spLocks noTextEdit="1"/>
            </xdr:cNvSpPr>
          </xdr:nvSpPr>
          <xdr:spPr>
            <a:xfrm>
              <a:off x="279400" y="1504950"/>
              <a:ext cx="7153276" cy="885825"/>
            </a:xfrm>
            <a:prstGeom prst="rect">
              <a:avLst/>
            </a:prstGeom>
            <a:noFill/>
            <a:ln w="1">
              <a:noFill/>
            </a:ln>
          </xdr:spPr>
          <xdr:txBody>
            <a:bodyPr vertOverflow="clip" horzOverflow="clip"/>
            <a:lstStyle/>
            <a:p>
              <a:r>
                <a:rPr lang="en-US" sz="1100">
                  <a:solidFill>
                    <a:schemeClr val="tx1">
                      <a:lumMod val="75000"/>
                    </a:schemeClr>
                  </a:solidFill>
                  <a:latin typeface="Gill Sans MT" charset="0"/>
                  <a:ea typeface="Gill Sans MT" charset="0"/>
                  <a:cs typeface="Gill Sans MT" charset="0"/>
                </a:rPr>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6</xdr:col>
      <xdr:colOff>76201</xdr:colOff>
      <xdr:row>2</xdr:row>
      <xdr:rowOff>57150</xdr:rowOff>
    </xdr:from>
    <xdr:to>
      <xdr:col>11</xdr:col>
      <xdr:colOff>792480</xdr:colOff>
      <xdr:row>2</xdr:row>
      <xdr:rowOff>942975</xdr:rowOff>
    </xdr:to>
    <mc:AlternateContent xmlns:mc="http://schemas.openxmlformats.org/markup-compatibility/2006" xmlns:sle15="http://schemas.microsoft.com/office/drawing/2012/slicer">
      <mc:Choice Requires="sle15">
        <xdr:graphicFrame macro="">
          <xdr:nvGraphicFramePr>
            <xdr:cNvPr id="5" name="Payee 1" descr="Filter charitables and sponsorships by the Payee field">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Payee 1"/>
            </a:graphicData>
          </a:graphic>
        </xdr:graphicFrame>
      </mc:Choice>
      <mc:Fallback xmlns="">
        <xdr:sp macro="" textlink="">
          <xdr:nvSpPr>
            <xdr:cNvPr id="3" name="Rectangle 2"/>
            <xdr:cNvSpPr>
              <a:spLocks noTextEdit="1"/>
            </xdr:cNvSpPr>
          </xdr:nvSpPr>
          <xdr:spPr>
            <a:xfrm>
              <a:off x="7442200" y="1504950"/>
              <a:ext cx="8204201" cy="885825"/>
            </a:xfrm>
            <a:prstGeom prst="rect">
              <a:avLst/>
            </a:prstGeom>
            <a:noFill/>
            <a:ln w="1">
              <a:noFill/>
            </a:ln>
          </xdr:spPr>
          <xdr:txBody>
            <a:bodyPr vertOverflow="clip" horzOverflow="clip"/>
            <a:lstStyle/>
            <a:p>
              <a:r>
                <a:rPr lang="en-US" sz="1100">
                  <a:solidFill>
                    <a:schemeClr val="tx1">
                      <a:lumMod val="75000"/>
                    </a:schemeClr>
                  </a:solidFill>
                  <a:latin typeface="Gill Sans MT" charset="0"/>
                  <a:ea typeface="Gill Sans MT" charset="0"/>
                  <a:cs typeface="Gill Sans MT" charset="0"/>
                </a:rPr>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1</xdr:col>
      <xdr:colOff>0</xdr:colOff>
      <xdr:row>0</xdr:row>
      <xdr:rowOff>167640</xdr:rowOff>
    </xdr:from>
    <xdr:to>
      <xdr:col>1</xdr:col>
      <xdr:colOff>731520</xdr:colOff>
      <xdr:row>0</xdr:row>
      <xdr:rowOff>441960</xdr:rowOff>
    </xdr:to>
    <xdr:sp macro="" textlink="">
      <xdr:nvSpPr>
        <xdr:cNvPr id="6" name="Left Arrow 6" descr="Left navigation button">
          <a:hlinkClick xmlns:r="http://schemas.openxmlformats.org/officeDocument/2006/relationships" r:id="rId1" tooltip="Select to navigate to ITEMIZED EXPENSES worksheet"/>
          <a:extLst>
            <a:ext uri="{FF2B5EF4-FFF2-40B4-BE49-F238E27FC236}">
              <a16:creationId xmlns:a16="http://schemas.microsoft.com/office/drawing/2014/main" id="{F4EC4B53-35E1-49AB-9992-C7C94F4BE626}"/>
            </a:ext>
          </a:extLst>
        </xdr:cNvPr>
        <xdr:cNvSpPr/>
      </xdr:nvSpPr>
      <xdr:spPr>
        <a:xfrm>
          <a:off x="182880" y="167640"/>
          <a:ext cx="73152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PREV</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Y%2023%20MCES%20Budget%20Aug%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BUDGET SUMMARY"/>
      <sheetName val="MONTHLY EXPENSES SUMMARY"/>
      <sheetName val="ITEMIZED Transactions"/>
      <sheetName val="Sheet2"/>
      <sheetName val="Sheet1"/>
      <sheetName val="CHARITABLES &amp; SPONSORSHIPS"/>
    </sheetNames>
    <sheetDataSet>
      <sheetData sheetId="0"/>
      <sheetData sheetId="1"/>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53.375816435182" createdVersion="8" refreshedVersion="8" minRefreshableVersion="3" recordCount="75" xr:uid="{750D4B68-5073-4B26-9F59-66F25FEBFDC5}">
  <cacheSource type="worksheet">
    <worksheetSource ref="A1:E1048576" sheet="Sheet1"/>
  </cacheSource>
  <cacheFields count="5">
    <cacheField name="Ck #" numFmtId="0">
      <sharedItems containsString="0" containsBlank="1" containsNumber="1" containsInteger="1" minValue="1000" maxValue="16000"/>
    </cacheField>
    <cacheField name="Date" numFmtId="0">
      <sharedItems containsNonDate="0" containsDate="1" containsString="0" containsBlank="1" minDate="2022-01-09T00:00:00" maxDate="2022-05-06T00:00:00"/>
    </cacheField>
    <cacheField name="type" numFmtId="0">
      <sharedItems containsBlank="1"/>
    </cacheField>
    <cacheField name="amount" numFmtId="0">
      <sharedItems containsString="0" containsBlank="1" containsNumber="1" minValue="-13388.05" maxValue="3688"/>
    </cacheField>
    <cacheField name="details" numFmtId="0">
      <sharedItems containsBlank="1" count="45">
        <s v="Breakfast with Santa"/>
        <s v="Tree Lighting raffle"/>
        <s v="Candy for teacher classroom"/>
        <s v="Daddy/Daughter Reimb"/>
        <s v="Monthly treat "/>
        <s v="Final invoice"/>
        <s v="Petty cash"/>
        <s v="DJ for daddy/daughter"/>
        <s v="Pizza for daddy/daughter"/>
        <s v="Dessert for daddy/daughter"/>
        <s v="Volunteer Reimb"/>
        <s v="Daddy/daughter event cash sales"/>
        <s v="Spiritwear"/>
        <s v="Spring VIP Carpool"/>
        <s v="Daddy/Daughter Dance"/>
        <m/>
        <s v="Scholastic"/>
        <s v="McDonald's Spirit Night"/>
        <s v="Spring Dance Reimb"/>
        <s v="K-2 Carnival Prizes"/>
        <s v="Pizza for spring dance"/>
        <s v="Spring Dance Income"/>
        <s v="Lowe's Foods"/>
        <s v="Playground equipment"/>
        <s v="Scholastic Cost"/>
        <s v="Field Day"/>
        <s v="Memberhub Spring dance"/>
        <s v="Fees"/>
        <s v="Coolers"/>
        <s v="EOG Prize Cart"/>
        <s v="Apple Day Reimb"/>
        <s v="Pi Day Reimb"/>
        <s v="Carnival game rental"/>
        <s v="Inflatable rental"/>
        <s v="Popcorn and cotton candy machine rental"/>
        <s v="Pizza for volunteers"/>
        <s v="Face painting supplies"/>
        <s v="Carnival décor"/>
        <s v="Carnival income"/>
        <s v="Corp matching donation"/>
        <s v="Carnival Reimb"/>
        <s v="TAW"/>
        <s v="Spirit wear"/>
        <s v="Carnival proceeds"/>
        <s v="Refund for broken gam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
  <r>
    <n v="6000"/>
    <d v="2022-01-09T00:00:00"/>
    <s v="Deposit"/>
    <n v="1832"/>
    <x v="0"/>
  </r>
  <r>
    <n v="15400"/>
    <d v="2022-01-09T00:00:00"/>
    <s v="Deposit"/>
    <n v="606"/>
    <x v="1"/>
  </r>
  <r>
    <n v="14000"/>
    <d v="2022-01-17T00:00:00"/>
    <s v="Meredith Tolar"/>
    <n v="-47.76"/>
    <x v="2"/>
  </r>
  <r>
    <n v="7100"/>
    <d v="2022-01-17T00:00:00"/>
    <s v="Meredith Tolar"/>
    <n v="-31.46"/>
    <x v="3"/>
  </r>
  <r>
    <n v="14000"/>
    <d v="2022-01-18T00:00:00"/>
    <s v="Burney's"/>
    <n v="-253.48"/>
    <x v="4"/>
  </r>
  <r>
    <n v="4100"/>
    <d v="2022-01-31T00:00:00"/>
    <s v="Boosterthon"/>
    <n v="-15.75"/>
    <x v="5"/>
  </r>
  <r>
    <n v="7100"/>
    <d v="2022-01-31T00:00:00"/>
    <s v="Sheila Capps"/>
    <n v="-462.54"/>
    <x v="3"/>
  </r>
  <r>
    <n v="7100"/>
    <d v="2022-01-31T00:00:00"/>
    <s v="Cash"/>
    <n v="-150"/>
    <x v="6"/>
  </r>
  <r>
    <n v="7100"/>
    <d v="2022-02-01T00:00:00"/>
    <s v="Thurmond Sheppard"/>
    <n v="-300"/>
    <x v="7"/>
  </r>
  <r>
    <n v="7100"/>
    <d v="2022-02-06T00:00:00"/>
    <s v="Dominoe's"/>
    <n v="-581.66999999999996"/>
    <x v="8"/>
  </r>
  <r>
    <n v="7100"/>
    <d v="2022-02-06T00:00:00"/>
    <s v="Delightfully Sweet LLC"/>
    <n v="-275"/>
    <x v="9"/>
  </r>
  <r>
    <n v="14000"/>
    <d v="2022-03-05T00:00:00"/>
    <s v="Sheena Allen"/>
    <n v="-100"/>
    <x v="10"/>
  </r>
  <r>
    <n v="14000"/>
    <d v="2022-03-05T00:00:00"/>
    <s v="Christina Dupree"/>
    <n v="-100"/>
    <x v="10"/>
  </r>
  <r>
    <n v="14000"/>
    <d v="2022-03-05T00:00:00"/>
    <s v="Kara Lillie"/>
    <n v="-100"/>
    <x v="10"/>
  </r>
  <r>
    <n v="14000"/>
    <d v="2022-03-05T00:00:00"/>
    <s v="Lauren Horne"/>
    <n v="-100"/>
    <x v="10"/>
  </r>
  <r>
    <n v="14000"/>
    <d v="2022-03-05T00:00:00"/>
    <s v="Kristen Sweet"/>
    <n v="-100"/>
    <x v="10"/>
  </r>
  <r>
    <n v="14000"/>
    <d v="2022-03-05T00:00:00"/>
    <s v="Mandy Bowden"/>
    <n v="-100"/>
    <x v="10"/>
  </r>
  <r>
    <n v="7100"/>
    <d v="2022-02-10T00:00:00"/>
    <s v="Angie Standley"/>
    <n v="-674.44"/>
    <x v="3"/>
  </r>
  <r>
    <n v="7100"/>
    <d v="2022-03-05T00:00:00"/>
    <s v="Sara Perry"/>
    <n v="-81.099999999999994"/>
    <x v="3"/>
  </r>
  <r>
    <n v="7000"/>
    <d v="2022-02-09T00:00:00"/>
    <s v="Deposit"/>
    <n v="3424"/>
    <x v="11"/>
  </r>
  <r>
    <n v="12600"/>
    <d v="2022-01-10T00:00:00"/>
    <s v="Deposit"/>
    <n v="64.209999999999994"/>
    <x v="12"/>
  </r>
  <r>
    <n v="1000"/>
    <d v="2022-01-13T00:00:00"/>
    <s v="Memberhub"/>
    <n v="919.89"/>
    <x v="13"/>
  </r>
  <r>
    <n v="1000"/>
    <d v="2022-01-20T00:00:00"/>
    <s v="Memberhub"/>
    <n v="467.64"/>
    <x v="13"/>
  </r>
  <r>
    <n v="7000"/>
    <d v="2022-01-27T00:00:00"/>
    <s v="Memberhub"/>
    <n v="431.71"/>
    <x v="14"/>
  </r>
  <r>
    <n v="7000"/>
    <d v="2022-02-03T00:00:00"/>
    <s v="Memberhub"/>
    <n v="1358.37"/>
    <x v="14"/>
  </r>
  <r>
    <n v="12000"/>
    <d v="2022-02-09T00:00:00"/>
    <s v="Amazon Smile"/>
    <n v="280.73"/>
    <x v="15"/>
  </r>
  <r>
    <n v="7000"/>
    <d v="2022-02-24T00:00:00"/>
    <s v="Memberhub"/>
    <n v="12"/>
    <x v="14"/>
  </r>
  <r>
    <n v="9100"/>
    <d v="2022-03-09T00:00:00"/>
    <s v="Scholastic"/>
    <n v="-300"/>
    <x v="6"/>
  </r>
  <r>
    <n v="9000"/>
    <d v="2022-03-13T00:00:00"/>
    <s v="Deposit"/>
    <n v="687.94"/>
    <x v="16"/>
  </r>
  <r>
    <n v="9000"/>
    <d v="2022-03-14T00:00:00"/>
    <s v="Deposit"/>
    <n v="3688"/>
    <x v="16"/>
  </r>
  <r>
    <n v="9000"/>
    <d v="2022-03-15T00:00:00"/>
    <s v="Deposit"/>
    <n v="2255.73"/>
    <x v="16"/>
  </r>
  <r>
    <n v="9000"/>
    <d v="2022-03-16T00:00:00"/>
    <s v="Deposit"/>
    <n v="2527"/>
    <x v="16"/>
  </r>
  <r>
    <n v="9000"/>
    <d v="2022-03-17T00:00:00"/>
    <s v="Deposit"/>
    <n v="1126.5899999999999"/>
    <x v="16"/>
  </r>
  <r>
    <n v="3000"/>
    <d v="2022-03-17T00:00:00"/>
    <s v="Deposit"/>
    <n v="605"/>
    <x v="17"/>
  </r>
  <r>
    <n v="10100"/>
    <d v="2022-03-23T00:00:00"/>
    <s v="Abby Pope"/>
    <n v="-908.59"/>
    <x v="18"/>
  </r>
  <r>
    <n v="10300"/>
    <d v="2022-03-23T00:00:00"/>
    <s v="Abby Pope"/>
    <n v="-45.79"/>
    <x v="19"/>
  </r>
  <r>
    <n v="10100"/>
    <d v="2022-03-23T00:00:00"/>
    <s v="Dominoe's"/>
    <n v="-512.05999999999995"/>
    <x v="20"/>
  </r>
  <r>
    <n v="10000"/>
    <d v="2022-03-28T00:00:00"/>
    <s v="Deposit"/>
    <n v="2610.75"/>
    <x v="21"/>
  </r>
  <r>
    <n v="11000"/>
    <d v="2022-03-28T00:00:00"/>
    <s v="Deposit"/>
    <n v="46.11"/>
    <x v="22"/>
  </r>
  <r>
    <n v="4100"/>
    <d v="2022-03-28T00:00:00"/>
    <s v="Playworld Preferred"/>
    <n v="-13388.05"/>
    <x v="23"/>
  </r>
  <r>
    <n v="9100"/>
    <d v="2022-03-28T00:00:00"/>
    <s v="Scholastic"/>
    <n v="-9962.9699999999993"/>
    <x v="24"/>
  </r>
  <r>
    <n v="10300"/>
    <d v="2022-03-28T00:00:00"/>
    <s v="Angie Stanley"/>
    <n v="-645.72"/>
    <x v="19"/>
  </r>
  <r>
    <n v="10100"/>
    <d v="2022-03-28T00:00:00"/>
    <s v="Angie Stanley"/>
    <n v="-645.73"/>
    <x v="19"/>
  </r>
  <r>
    <n v="14000"/>
    <d v="2022-03-28T00:00:00"/>
    <s v="Abby Pope"/>
    <n v="-332.89"/>
    <x v="25"/>
  </r>
  <r>
    <n v="10000"/>
    <d v="2022-03-17T00:00:00"/>
    <s v="Deposit"/>
    <n v="115.28"/>
    <x v="26"/>
  </r>
  <r>
    <n v="10000"/>
    <d v="2022-03-24T00:00:00"/>
    <s v="Deposit"/>
    <n v="916.07"/>
    <x v="26"/>
  </r>
  <r>
    <n v="10100"/>
    <d v="2022-03-15T00:00:00"/>
    <s v="Memberhub"/>
    <n v="-37"/>
    <x v="27"/>
  </r>
  <r>
    <n v="14000"/>
    <d v="2022-04-16T00:00:00"/>
    <s v="Meredith Tolar"/>
    <n v="-200.69"/>
    <x v="28"/>
  </r>
  <r>
    <n v="10300"/>
    <d v="2022-04-16T00:00:00"/>
    <s v="Meredith Tolar"/>
    <n v="-172.14"/>
    <x v="19"/>
  </r>
  <r>
    <n v="14000"/>
    <d v="2022-04-16T00:00:00"/>
    <s v="Meredith Tolar"/>
    <n v="-560.44000000000005"/>
    <x v="29"/>
  </r>
  <r>
    <n v="14000"/>
    <d v="2022-04-16T00:00:00"/>
    <s v="Sheila Capps"/>
    <n v="-49.6"/>
    <x v="30"/>
  </r>
  <r>
    <n v="14000"/>
    <d v="2022-04-16T00:00:00"/>
    <s v="Sheila Capps"/>
    <n v="-125.59"/>
    <x v="31"/>
  </r>
  <r>
    <n v="10300"/>
    <d v="2022-04-16T00:00:00"/>
    <s v="Sheila Capps"/>
    <n v="-275.18"/>
    <x v="19"/>
  </r>
  <r>
    <n v="14000"/>
    <d v="2022-04-16T00:00:00"/>
    <s v="Megan Gedeon"/>
    <n v="-100.35"/>
    <x v="28"/>
  </r>
  <r>
    <n v="14000"/>
    <d v="2022-04-16T00:00:00"/>
    <s v="Lauren Barbour"/>
    <n v="-99.33"/>
    <x v="10"/>
  </r>
  <r>
    <n v="14000"/>
    <d v="2022-04-17T00:00:00"/>
    <s v="Sara Perry"/>
    <n v="-96.87"/>
    <x v="10"/>
  </r>
  <r>
    <n v="10300"/>
    <d v="2022-04-21T00:00:00"/>
    <s v="Ragland Productions"/>
    <n v="-1152.9000000000001"/>
    <x v="32"/>
  </r>
  <r>
    <n v="10300"/>
    <d v="2022-04-21T00:00:00"/>
    <s v="Powell Party Rentals"/>
    <n v="-423"/>
    <x v="33"/>
  </r>
  <r>
    <n v="10300"/>
    <d v="2022-04-21T00:00:00"/>
    <s v="Jennifer Allen"/>
    <n v="-100"/>
    <x v="34"/>
  </r>
  <r>
    <n v="10300"/>
    <d v="2022-04-21T00:00:00"/>
    <s v="Dominoe's"/>
    <n v="-135"/>
    <x v="35"/>
  </r>
  <r>
    <n v="10300"/>
    <d v="2022-04-24T00:00:00"/>
    <s v="Angie Stanley"/>
    <n v="-48.75"/>
    <x v="36"/>
  </r>
  <r>
    <n v="10300"/>
    <d v="2022-04-24T00:00:00"/>
    <s v="Megan Gedeon"/>
    <n v="-372.23"/>
    <x v="37"/>
  </r>
  <r>
    <n v="10200"/>
    <d v="2022-04-28T00:00:00"/>
    <s v="Cash"/>
    <n v="2547"/>
    <x v="38"/>
  </r>
  <r>
    <n v="16000"/>
    <d v="2022-04-28T00:00:00"/>
    <s v="BlackBaud Giving Fund"/>
    <n v="20"/>
    <x v="39"/>
  </r>
  <r>
    <n v="10300"/>
    <d v="2022-04-28T00:00:00"/>
    <s v="Sara Perry"/>
    <n v="-51.21"/>
    <x v="40"/>
  </r>
  <r>
    <n v="14000"/>
    <d v="2022-04-28T00:00:00"/>
    <s v="Sara Perry"/>
    <n v="-86.32"/>
    <x v="41"/>
  </r>
  <r>
    <n v="14000"/>
    <d v="2022-04-28T00:00:00"/>
    <s v="Ed Hall"/>
    <n v="-100"/>
    <x v="10"/>
  </r>
  <r>
    <n v="14000"/>
    <d v="2022-04-28T00:00:00"/>
    <s v="Carolyn Brown"/>
    <n v="-100"/>
    <x v="10"/>
  </r>
  <r>
    <n v="14000"/>
    <d v="2022-04-28T00:00:00"/>
    <s v="Heather Chitwood"/>
    <n v="-100"/>
    <x v="10"/>
  </r>
  <r>
    <n v="12600"/>
    <d v="2022-04-14T00:00:00"/>
    <s v="First Place Spiritwear"/>
    <n v="8.24"/>
    <x v="42"/>
  </r>
  <r>
    <n v="10200"/>
    <d v="2022-04-14T00:00:00"/>
    <s v="Memberhub"/>
    <n v="18.96"/>
    <x v="43"/>
  </r>
  <r>
    <n v="10200"/>
    <d v="2022-04-21T00:00:00"/>
    <s v="Memberhub"/>
    <n v="587.4"/>
    <x v="43"/>
  </r>
  <r>
    <n v="10200"/>
    <d v="2022-04-28T00:00:00"/>
    <s v="Memberhub"/>
    <n v="700.74"/>
    <x v="43"/>
  </r>
  <r>
    <n v="10200"/>
    <d v="2022-05-05T00:00:00"/>
    <s v="Ragland Productions"/>
    <n v="80.06"/>
    <x v="44"/>
  </r>
  <r>
    <m/>
    <m/>
    <m/>
    <m/>
    <x v="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BDAEB38-D7D2-4351-B3BE-6475DA54796F}" name="PivotTable1" cacheId="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49" firstHeaderRow="1" firstDataRow="1" firstDataCol="1"/>
  <pivotFields count="5">
    <pivotField showAll="0"/>
    <pivotField showAll="0"/>
    <pivotField showAll="0"/>
    <pivotField dataField="1" showAll="0"/>
    <pivotField axis="axisRow" showAll="0">
      <items count="46">
        <item x="30"/>
        <item x="0"/>
        <item x="2"/>
        <item x="37"/>
        <item x="32"/>
        <item x="38"/>
        <item x="43"/>
        <item x="40"/>
        <item x="28"/>
        <item x="39"/>
        <item x="14"/>
        <item x="11"/>
        <item x="3"/>
        <item x="9"/>
        <item x="7"/>
        <item x="29"/>
        <item x="36"/>
        <item x="27"/>
        <item x="25"/>
        <item x="5"/>
        <item x="33"/>
        <item x="19"/>
        <item x="22"/>
        <item x="17"/>
        <item x="26"/>
        <item x="4"/>
        <item x="6"/>
        <item x="31"/>
        <item x="8"/>
        <item x="20"/>
        <item x="35"/>
        <item x="23"/>
        <item x="34"/>
        <item x="44"/>
        <item x="16"/>
        <item x="24"/>
        <item x="42"/>
        <item x="12"/>
        <item x="21"/>
        <item x="18"/>
        <item x="13"/>
        <item x="41"/>
        <item x="1"/>
        <item x="10"/>
        <item x="15"/>
        <item t="default"/>
      </items>
    </pivotField>
  </pivotFields>
  <rowFields count="1">
    <field x="4"/>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Items count="1">
    <i/>
  </colItems>
  <dataFields count="1">
    <dataField name="Sum of amount"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1" xr10:uid="{00000000-0013-0000-FFFF-FFFF01000000}" sourceName="Requested by">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1" xr10:uid="{00000000-0013-0000-FFFF-FFFF02000000}" sourceName="Payee">
  <extLst>
    <x:ext xmlns:x15="http://schemas.microsoft.com/office/spreadsheetml/2010/11/main" uri="{2F2917AC-EB37-4324-AD4E-5DD8C200BD13}">
      <x15:tableSlicerCache tableId="3"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 xr10:uid="{FEA601F3-8B6B-43DE-86F6-35351535A755}" sourceName="Payor/Payee">
  <extLst>
    <x:ext xmlns:x15="http://schemas.microsoft.com/office/spreadsheetml/2010/11/main" uri="{2F2917AC-EB37-4324-AD4E-5DD8C200BD13}">
      <x15:tableSlicerCache tableId="2" column="4"/>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 xr10:uid="{81666AED-F54B-49E1-A082-DE91621CA2CB}" sourceName="Payee">
  <extLst>
    <x:ext xmlns:x15="http://schemas.microsoft.com/office/spreadsheetml/2010/11/main" uri="{2F2917AC-EB37-4324-AD4E-5DD8C200BD13}">
      <x15:tableSlicerCache tableId="2" column="6"/>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Title" xr10:uid="{00000000-0013-0000-FFFF-FFFF03000000}" sourceName="Account Title">
  <extLst>
    <x:ext xmlns:x15="http://schemas.microsoft.com/office/spreadsheetml/2010/11/main" uri="{2F2917AC-EB37-4324-AD4E-5DD8C200BD13}">
      <x15:tableSlicerCache tableId="4"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ccount Title" xr10:uid="{00000000-0014-0000-FFFF-FFFF01000000}" cache="Slicer_Account_Title" caption="Account Title"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quested by" xr10:uid="{3330752B-42F1-478D-986C-B7FDA8B11B18}" cache="Slicer_Requested_by" caption="Payor/Payee" columnCount="3" style="Slicer Charitables &amp; Sponsorships" rowHeight="273050"/>
  <slicer name="Payee" xr10:uid="{67760EEB-CF46-4DFA-AEAF-409FB5970930}" cache="Slicer_Payee" caption="Payee"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quested by 1" xr10:uid="{00000000-0014-0000-FFFF-FFFF02000000}" cache="Slicer_Requested_by1" caption="Requested by" columnCount="3" style="Slicer Charitables &amp; Sponsorships" rowHeight="225425"/>
  <slicer name="Payee 1" xr10:uid="{00000000-0014-0000-FFFF-FFFF03000000}" cache="Slicer_Payee1" caption="Payee" columnCount="3" style="Slicer Charitables &amp; Sponsorship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YearToDateTable" displayName="YearToDateTable" ref="B3:G40" totalsRowCount="1" headerRowDxfId="83" dataDxfId="81" totalsRowDxfId="80" headerRowBorderDxfId="82" totalsRowBorderDxfId="79">
  <autoFilter ref="B3:G3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G/L Code" totalsRowLabel="Total" dataDxfId="78" totalsRowDxfId="77" dataCellStyle="Comma"/>
    <tableColumn id="2" xr3:uid="{00000000-0010-0000-0000-000002000000}" name="Account Title" dataDxfId="76" totalsRowDxfId="75"/>
    <tableColumn id="3" xr3:uid="{00000000-0010-0000-0000-000003000000}" name="Actual" totalsRowFunction="sum" dataDxfId="74" totalsRowDxfId="73" dataCellStyle="Currency [0]">
      <calculatedColumnFormula>SUMIF(MonthlyExpensesSummary[G/L Code],YearToDateTable[[#This Row],[G/L Code]],MonthlyExpensesSummary[Total])</calculatedColumnFormula>
    </tableColumn>
    <tableColumn id="4" xr3:uid="{00000000-0010-0000-0000-000004000000}" name="Budget" totalsRowFunction="sum" dataDxfId="72" totalsRowDxfId="71" dataCellStyle="Currency [0]"/>
    <tableColumn id="5" xr3:uid="{00000000-0010-0000-0000-000005000000}" name="Remaining $" totalsRowFunction="sum" dataDxfId="70" totalsRowDxfId="69" dataCellStyle="Currency [0]">
      <calculatedColumnFormula>IF(YearToDateTable[[#This Row],[Budget]]="","",YearToDateTable[[#This Row],[Budget]]-YearToDateTable[[#This Row],[Actual]])</calculatedColumnFormula>
    </tableColumn>
    <tableColumn id="6" xr3:uid="{00000000-0010-0000-0000-000006000000}" name="Remaining %" totalsRowFunction="custom" dataDxfId="68" totalsRowDxfId="67" dataCellStyle="Percent">
      <calculatedColumnFormula>IFERROR(YearToDateTable[[#This Row],[Remaining $]]/YearToDateTable[[#This Row],[Budget]],"")</calculatedColumnFormula>
      <totalsRowFormula>YearToDateTable[[#Totals],[Remaining $]]/YearToDateTable[[#Totals],[Budget]]</totalsRowFormula>
    </tableColumn>
  </tableColumns>
  <tableStyleInfo name="YTD Budget Summary" showFirstColumn="0" showLastColumn="0" showRowStripes="1" showColumnStripes="0"/>
  <extLst>
    <ext xmlns:x14="http://schemas.microsoft.com/office/spreadsheetml/2009/9/main" uri="{504A1905-F514-4f6f-8877-14C23A59335A}">
      <x14:table altTextSummary="Enter G/L code, Account Title, and Budget in this table. Actual amount and remaining values and percent will b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MonthlyExpensesSummary" displayName="MonthlyExpensesSummary" ref="B5:Q43" totalsRowCount="1" headerRowDxfId="66" dataDxfId="64" totalsRowDxfId="62" headerRowBorderDxfId="65" tableBorderDxfId="63" totalsRowBorderDxfId="61">
  <autoFilter ref="B5:Q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G/L Code" totalsRowLabel="Total" dataDxfId="60" totalsRowDxfId="59" dataCellStyle="Comma"/>
    <tableColumn id="2" xr3:uid="{00000000-0010-0000-0100-000002000000}" name="Account Title" dataDxfId="58" totalsRowDxfId="57"/>
    <tableColumn id="3" xr3:uid="{00000000-0010-0000-0100-000003000000}" name="January" totalsRowFunction="sum" dataDxfId="56" totalsRowDxfId="55" dataCellStyle="Currency [0]">
      <calculatedColumnFormula>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calculatedColumnFormula>
    </tableColumn>
    <tableColumn id="4" xr3:uid="{00000000-0010-0000-0100-000004000000}" name="February" totalsRowFunction="sum" dataDxfId="54" totalsRowDxfId="53" dataCellStyle="Currency [0]">
      <calculatedColumnFormula>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calculatedColumnFormula>
    </tableColumn>
    <tableColumn id="5" xr3:uid="{00000000-0010-0000-0100-000005000000}" name="March" totalsRowFunction="sum" dataDxfId="52" totalsRowDxfId="51" dataCellStyle="Currency [0]">
      <calculatedColumnFormula>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calculatedColumnFormula>
    </tableColumn>
    <tableColumn id="6" xr3:uid="{00000000-0010-0000-0100-000006000000}" name="April" totalsRowFunction="sum" dataDxfId="50" totalsRowDxfId="49" dataCellStyle="Currency [0]">
      <calculatedColumnFormula>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calculatedColumnFormula>
    </tableColumn>
    <tableColumn id="7" xr3:uid="{00000000-0010-0000-0100-000007000000}" name="May" totalsRowFunction="sum" dataDxfId="48" totalsRowDxfId="47" dataCellStyle="Currency [0]">
      <calculatedColumnFormula>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calculatedColumnFormula>
    </tableColumn>
    <tableColumn id="8" xr3:uid="{00000000-0010-0000-0100-000008000000}" name="June" totalsRowFunction="sum" dataDxfId="46" totalsRowDxfId="45" dataCellStyle="Currency [0]">
      <calculatedColumnFormula>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calculatedColumnFormula>
    </tableColumn>
    <tableColumn id="9" xr3:uid="{00000000-0010-0000-0100-000009000000}" name="July" totalsRowFunction="sum" dataDxfId="44" totalsRowDxfId="43" dataCellStyle="Currency [0]">
      <calculatedColumnFormula>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calculatedColumnFormula>
    </tableColumn>
    <tableColumn id="10" xr3:uid="{00000000-0010-0000-0100-00000A000000}" name="August" totalsRowFunction="sum" dataDxfId="42" totalsRowDxfId="41" dataCellStyle="Currency [0]">
      <calculatedColumnFormula>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calculatedColumnFormula>
    </tableColumn>
    <tableColumn id="11" xr3:uid="{00000000-0010-0000-0100-00000B000000}" name="September" totalsRowFunction="sum" dataDxfId="40" totalsRowDxfId="39" dataCellStyle="Currency [0]">
      <calculatedColumnFormula>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calculatedColumnFormula>
    </tableColumn>
    <tableColumn id="12" xr3:uid="{00000000-0010-0000-0100-00000C000000}" name="October" totalsRowFunction="sum" dataDxfId="38" totalsRowDxfId="37" dataCellStyle="Currency [0]">
      <calculatedColumnFormula>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calculatedColumnFormula>
    </tableColumn>
    <tableColumn id="13" xr3:uid="{00000000-0010-0000-0100-00000D000000}" name="November" totalsRowFunction="sum" dataDxfId="36" totalsRowDxfId="35" dataCellStyle="Currency [0]">
      <calculatedColumnFormula>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calculatedColumnFormula>
    </tableColumn>
    <tableColumn id="14" xr3:uid="{00000000-0010-0000-0100-00000E000000}" name="December" totalsRowFunction="sum" dataDxfId="34" totalsRowDxfId="33" dataCellStyle="Currency [0]">
      <calculatedColumnFormula>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calculatedColumnFormula>
    </tableColumn>
    <tableColumn id="15" xr3:uid="{00000000-0010-0000-0100-00000F000000}" name="Total" totalsRowFunction="sum" dataDxfId="32" totalsRowDxfId="31" dataCellStyle="Currency [0]">
      <calculatedColumnFormula>SUM(MonthlyExpensesSummary[[#This Row],[January]:[December]])</calculatedColumnFormula>
    </tableColumn>
    <tableColumn id="16" xr3:uid="{00000000-0010-0000-0100-000010000000}" name=" " dataDxfId="30" totalsRowDxfId="29"/>
  </tableColumns>
  <tableStyleInfo name="Monthly Expenses Summary" showFirstColumn="0" showLastColumn="0" showRowStripes="1" showColumnStripes="0"/>
  <extLst>
    <ext xmlns:x14="http://schemas.microsoft.com/office/spreadsheetml/2009/9/main" uri="{504A1905-F514-4f6f-8877-14C23A59335A}">
      <x14:table altTextSummary="Enter G/L code and account title in this table. Amount for each month and Totals are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ItemizedExpenses" displayName="ItemizedExpenses" ref="B4:J221" totalsRowShown="0" headerRowDxfId="28" dataDxfId="26" headerRowBorderDxfId="27" tableBorderDxfId="25" totalsRowBorderDxfId="24">
  <autoFilter ref="B4:J221"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G/L Code" dataDxfId="23" dataCellStyle="Comma"/>
    <tableColumn id="2" xr3:uid="{00000000-0010-0000-0200-000002000000}" name="Transaction Date" dataDxfId="22" dataCellStyle="Date"/>
    <tableColumn id="3" xr3:uid="{00000000-0010-0000-0200-000003000000}" name="Check #" dataDxfId="21" dataCellStyle="Comma"/>
    <tableColumn id="4" xr3:uid="{00000000-0010-0000-0200-000004000000}" name="Payor/Payee" dataDxfId="20"/>
    <tableColumn id="5" xr3:uid="{00000000-0010-0000-0200-000005000000}" name="Deposit/Credit" dataDxfId="19" dataCellStyle="Currency [0]"/>
    <tableColumn id="6" xr3:uid="{00000000-0010-0000-0200-000006000000}" name="Payee" dataDxfId="18"/>
    <tableColumn id="7" xr3:uid="{00000000-0010-0000-0200-000007000000}" name="Deposit Details/Check Use" dataDxfId="17"/>
    <tableColumn id="8" xr3:uid="{00000000-0010-0000-0200-000008000000}" name="Cleared" dataDxfId="16"/>
    <tableColumn id="9" xr3:uid="{00000000-0010-0000-0200-000009000000}" name="Chk book Balance" dataDxfId="15" dataCellStyle="Date">
      <calculatedColumnFormula>J4+[1]!ItemizedExpenses[[#This Row],[Deposit/Credit]]</calculatedColumnFormula>
    </tableColumn>
  </tableColumns>
  <tableStyleInfo name="Itemized Expenses" showFirstColumn="0" showLastColumn="0" showRowStripes="1"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Other" displayName="Other" ref="B4:L6" totalsRowShown="0" headerRowDxfId="14" dataDxfId="12" headerRowBorderDxfId="13">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G/L Code" dataDxfId="11" dataCellStyle="Comma"/>
    <tableColumn id="2" xr3:uid="{00000000-0010-0000-0300-000002000000}" name="Date Check Request Initiated" dataDxfId="10" dataCellStyle="Date"/>
    <tableColumn id="3" xr3:uid="{00000000-0010-0000-0300-000003000000}" name="Requested by" dataDxfId="9"/>
    <tableColumn id="4" xr3:uid="{00000000-0010-0000-0300-000004000000}" name="Check Amount" dataDxfId="8" dataCellStyle="Currency [0]"/>
    <tableColumn id="5" xr3:uid="{00000000-0010-0000-0300-000005000000}" name="Previous Year Contribution" dataDxfId="7" dataCellStyle="Currency [0]"/>
    <tableColumn id="6" xr3:uid="{00000000-0010-0000-0300-000006000000}" name="Payee" dataDxfId="6"/>
    <tableColumn id="7" xr3:uid="{00000000-0010-0000-0300-000007000000}" name="Used For" dataDxfId="5"/>
    <tableColumn id="8" xr3:uid="{00000000-0010-0000-0300-000008000000}" name="Signed Off by" dataDxfId="4"/>
    <tableColumn id="9" xr3:uid="{00000000-0010-0000-0300-000009000000}" name="Category" dataDxfId="3"/>
    <tableColumn id="10" xr3:uid="{00000000-0010-0000-0300-00000A000000}" name="Method of Distribution" dataDxfId="2"/>
    <tableColumn id="11" xr3:uid="{00000000-0010-0000-0300-00000B000000}" name="File Date" dataDxfId="1" dataCellStyle="Date"/>
  </tableColumns>
  <tableStyleInfo name="Charitables &amp; Sponsorships" showFirstColumn="0" showLastColumn="0" showRowStripes="1" showColumnStripes="0"/>
  <extLst>
    <ext xmlns:x14="http://schemas.microsoft.com/office/spreadsheetml/2009/9/main" uri="{504A1905-F514-4f6f-8877-14C23A59335A}">
      <x14:table altTextSummary="Enter G/L code, Date when Check Request Initiated, Requested by &amp; Payee names, Check Amount, Used for, Previous Year Contribution, Method of Distribution &amp; File Date in this table"/>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G42"/>
  <sheetViews>
    <sheetView showGridLines="0" tabSelected="1" workbookViewId="0">
      <selection activeCell="A5" sqref="A5:XFD5"/>
    </sheetView>
  </sheetViews>
  <sheetFormatPr defaultColWidth="8.875" defaultRowHeight="30" customHeight="1" x14ac:dyDescent="0.35"/>
  <cols>
    <col min="1" max="1" width="2.625" customWidth="1"/>
    <col min="2" max="2" width="12.375" customWidth="1"/>
    <col min="3" max="3" width="30.625" customWidth="1"/>
    <col min="4" max="5" width="18.125" customWidth="1"/>
    <col min="6" max="6" width="38.375" customWidth="1"/>
    <col min="7" max="7" width="37.875" customWidth="1"/>
    <col min="8" max="8" width="52.625" customWidth="1"/>
  </cols>
  <sheetData>
    <row r="1" spans="2:7" ht="42.6" customHeight="1" x14ac:dyDescent="0.35">
      <c r="B1" s="2"/>
    </row>
    <row r="2" spans="2:7" ht="44.1" customHeight="1" x14ac:dyDescent="0.35">
      <c r="B2" s="126" t="s">
        <v>62</v>
      </c>
      <c r="C2" s="126"/>
      <c r="D2" s="126"/>
      <c r="E2" s="126"/>
      <c r="F2" s="66" t="s">
        <v>44</v>
      </c>
      <c r="G2" s="66">
        <v>2023</v>
      </c>
    </row>
    <row r="3" spans="2:7" ht="39" customHeight="1" x14ac:dyDescent="0.35">
      <c r="B3" s="47" t="s">
        <v>0</v>
      </c>
      <c r="C3" s="48" t="s">
        <v>1</v>
      </c>
      <c r="D3" s="49" t="s">
        <v>2</v>
      </c>
      <c r="E3" s="49" t="s">
        <v>3</v>
      </c>
      <c r="F3" s="50" t="s">
        <v>4</v>
      </c>
      <c r="G3" s="51" t="s">
        <v>5</v>
      </c>
    </row>
    <row r="4" spans="2:7" ht="39" customHeight="1" x14ac:dyDescent="0.35">
      <c r="B4" s="42">
        <v>1000</v>
      </c>
      <c r="C4" s="43" t="s">
        <v>51</v>
      </c>
      <c r="D4" s="44">
        <f>SUMIF(MonthlyExpensesSummary[G/L Code],YearToDateTable[[#This Row],[G/L Code]],MonthlyExpensesSummary[Total])</f>
        <v>0</v>
      </c>
      <c r="E4" s="44">
        <v>3000</v>
      </c>
      <c r="F4" s="45">
        <f>IF(YearToDateTable[[#This Row],[Budget]]="","",YearToDateTable[[#This Row],[Budget]]-YearToDateTable[[#This Row],[Actual]])</f>
        <v>3000</v>
      </c>
      <c r="G4" s="46">
        <f>IFERROR(YearToDateTable[[#This Row],[Remaining $]]/YearToDateTable[[#This Row],[Budget]],"")</f>
        <v>1</v>
      </c>
    </row>
    <row r="5" spans="2:7" ht="39" customHeight="1" x14ac:dyDescent="0.35">
      <c r="B5" s="4">
        <v>2000</v>
      </c>
      <c r="C5" s="5" t="s">
        <v>53</v>
      </c>
      <c r="D5" s="6">
        <f>SUMIF(MonthlyExpensesSummary[G/L Code],YearToDateTable[[#This Row],[G/L Code]],MonthlyExpensesSummary[Total])</f>
        <v>0</v>
      </c>
      <c r="E5" s="6">
        <v>2500</v>
      </c>
      <c r="F5" s="7">
        <f>IF(YearToDateTable[[#This Row],[Budget]]="","",YearToDateTable[[#This Row],[Budget]]-YearToDateTable[[#This Row],[Actual]])</f>
        <v>2500</v>
      </c>
      <c r="G5" s="8">
        <f>IFERROR(YearToDateTable[[#This Row],[Remaining $]]/YearToDateTable[[#This Row],[Budget]],"")</f>
        <v>1</v>
      </c>
    </row>
    <row r="6" spans="2:7" ht="39" customHeight="1" x14ac:dyDescent="0.35">
      <c r="B6" s="9">
        <v>2100</v>
      </c>
      <c r="C6" s="10" t="s">
        <v>54</v>
      </c>
      <c r="D6" s="11">
        <f>SUMIF(MonthlyExpensesSummary[G/L Code],YearToDateTable[[#This Row],[G/L Code]],MonthlyExpensesSummary[Total])</f>
        <v>0</v>
      </c>
      <c r="E6" s="11">
        <v>1000</v>
      </c>
      <c r="F6" s="12">
        <f>IF(YearToDateTable[[#This Row],[Budget]]="","",YearToDateTable[[#This Row],[Budget]]-YearToDateTable[[#This Row],[Actual]])</f>
        <v>1000</v>
      </c>
      <c r="G6" s="13">
        <f>IFERROR(YearToDateTable[[#This Row],[Remaining $]]/YearToDateTable[[#This Row],[Budget]],"")</f>
        <v>1</v>
      </c>
    </row>
    <row r="7" spans="2:7" ht="39" customHeight="1" x14ac:dyDescent="0.35">
      <c r="B7" s="4">
        <v>3000</v>
      </c>
      <c r="C7" s="5" t="s">
        <v>119</v>
      </c>
      <c r="D7" s="6">
        <f>SUMIF(MonthlyExpensesSummary[G/L Code],YearToDateTable[[#This Row],[G/L Code]],MonthlyExpensesSummary[Total])</f>
        <v>0</v>
      </c>
      <c r="E7" s="6">
        <v>500</v>
      </c>
      <c r="F7" s="7">
        <f>IF(YearToDateTable[[#This Row],[Budget]]="","",YearToDateTable[[#This Row],[Budget]]-YearToDateTable[[#This Row],[Actual]])</f>
        <v>500</v>
      </c>
      <c r="G7" s="8">
        <f>IFERROR(YearToDateTable[[#This Row],[Remaining $]]/YearToDateTable[[#This Row],[Budget]],"")</f>
        <v>1</v>
      </c>
    </row>
    <row r="8" spans="2:7" ht="39" customHeight="1" x14ac:dyDescent="0.35">
      <c r="B8" s="9">
        <v>3100</v>
      </c>
      <c r="C8" s="10" t="s">
        <v>77</v>
      </c>
      <c r="D8" s="11">
        <f>SUMIF(MonthlyExpensesSummary[G/L Code],YearToDateTable[[#This Row],[G/L Code]],MonthlyExpensesSummary[Total])</f>
        <v>0</v>
      </c>
      <c r="E8" s="11">
        <v>0</v>
      </c>
      <c r="F8" s="12">
        <f>IF(YearToDateTable[[#This Row],[Budget]]="","",YearToDateTable[[#This Row],[Budget]]-YearToDateTable[[#This Row],[Actual]])</f>
        <v>0</v>
      </c>
      <c r="G8" s="13" t="str">
        <f>IFERROR(YearToDateTable[[#This Row],[Remaining $]]/YearToDateTable[[#This Row],[Budget]],"")</f>
        <v/>
      </c>
    </row>
    <row r="9" spans="2:7" ht="39" customHeight="1" x14ac:dyDescent="0.35">
      <c r="B9" s="4">
        <v>4000</v>
      </c>
      <c r="C9" s="5" t="s">
        <v>166</v>
      </c>
      <c r="D9" s="6">
        <f>SUMIF(MonthlyExpensesSummary[G/L Code],YearToDateTable[[#This Row],[G/L Code]],MonthlyExpensesSummary[Total])</f>
        <v>0</v>
      </c>
      <c r="E9" s="6">
        <v>25000</v>
      </c>
      <c r="F9" s="7">
        <f>IF(YearToDateTable[[#This Row],[Budget]]="","",YearToDateTable[[#This Row],[Budget]]-YearToDateTable[[#This Row],[Actual]])</f>
        <v>25000</v>
      </c>
      <c r="G9" s="8">
        <f>IFERROR(YearToDateTable[[#This Row],[Remaining $]]/YearToDateTable[[#This Row],[Budget]],"")</f>
        <v>1</v>
      </c>
    </row>
    <row r="10" spans="2:7" ht="39" customHeight="1" x14ac:dyDescent="0.35">
      <c r="B10" s="9">
        <v>4100</v>
      </c>
      <c r="C10" s="10" t="s">
        <v>167</v>
      </c>
      <c r="D10" s="11">
        <f>SUMIF(MonthlyExpensesSummary[G/L Code],YearToDateTable[[#This Row],[G/L Code]],MonthlyExpensesSummary[Total])</f>
        <v>0</v>
      </c>
      <c r="E10" s="11">
        <v>12500</v>
      </c>
      <c r="F10" s="12">
        <f>IF(YearToDateTable[[#This Row],[Budget]]="","",YearToDateTable[[#This Row],[Budget]]-YearToDateTable[[#This Row],[Actual]])</f>
        <v>12500</v>
      </c>
      <c r="G10" s="13">
        <f>IFERROR(YearToDateTable[[#This Row],[Remaining $]]/YearToDateTable[[#This Row],[Budget]],"")</f>
        <v>1</v>
      </c>
    </row>
    <row r="11" spans="2:7" ht="39" customHeight="1" x14ac:dyDescent="0.35">
      <c r="B11" s="9">
        <v>4400</v>
      </c>
      <c r="C11" s="10" t="s">
        <v>175</v>
      </c>
      <c r="D11" s="11">
        <v>13225.6</v>
      </c>
      <c r="E11" s="11"/>
      <c r="F11" s="12" t="str">
        <f>IF(YearToDateTable[[#This Row],[Budget]]="","",YearToDateTable[[#This Row],[Budget]]-YearToDateTable[[#This Row],[Actual]])</f>
        <v/>
      </c>
      <c r="G11" s="13" t="str">
        <f>IFERROR(YearToDateTable[[#This Row],[Remaining $]]/YearToDateTable[[#This Row],[Budget]],"")</f>
        <v/>
      </c>
    </row>
    <row r="12" spans="2:7" ht="39" customHeight="1" x14ac:dyDescent="0.35">
      <c r="B12" s="75">
        <v>5000</v>
      </c>
      <c r="C12" s="10" t="s">
        <v>58</v>
      </c>
      <c r="D12" s="76">
        <f>SUMIF(MonthlyExpensesSummary[G/L Code],YearToDateTable[[#This Row],[G/L Code]],MonthlyExpensesSummary[Total])</f>
        <v>0</v>
      </c>
      <c r="E12" s="76">
        <v>13000</v>
      </c>
      <c r="F12" s="77">
        <f>IF(YearToDateTable[[#This Row],[Budget]]="","",YearToDateTable[[#This Row],[Budget]]-YearToDateTable[[#This Row],[Actual]])</f>
        <v>13000</v>
      </c>
      <c r="G12" s="78">
        <f>IFERROR(YearToDateTable[[#This Row],[Remaining $]]/YearToDateTable[[#This Row],[Budget]],"")</f>
        <v>1</v>
      </c>
    </row>
    <row r="13" spans="2:7" ht="39" customHeight="1" x14ac:dyDescent="0.35">
      <c r="B13" s="75">
        <v>5100</v>
      </c>
      <c r="C13" s="10" t="s">
        <v>57</v>
      </c>
      <c r="D13" s="76">
        <f>SUMIF(MonthlyExpensesSummary[G/L Code],YearToDateTable[[#This Row],[G/L Code]],MonthlyExpensesSummary[Total])</f>
        <v>0</v>
      </c>
      <c r="E13" s="76">
        <v>13000</v>
      </c>
      <c r="F13" s="77">
        <f>IF(YearToDateTable[[#This Row],[Budget]]="","",YearToDateTable[[#This Row],[Budget]]-YearToDateTable[[#This Row],[Actual]])</f>
        <v>13000</v>
      </c>
      <c r="G13" s="78">
        <f>IFERROR(YearToDateTable[[#This Row],[Remaining $]]/YearToDateTable[[#This Row],[Budget]],"")</f>
        <v>1</v>
      </c>
    </row>
    <row r="14" spans="2:7" ht="39" customHeight="1" x14ac:dyDescent="0.35">
      <c r="B14" s="4">
        <v>6000</v>
      </c>
      <c r="C14" s="5" t="s">
        <v>55</v>
      </c>
      <c r="D14" s="6">
        <f>SUMIF(MonthlyExpensesSummary[G/L Code],YearToDateTable[[#This Row],[G/L Code]],MonthlyExpensesSummary[Total])</f>
        <v>0</v>
      </c>
      <c r="E14" s="6">
        <v>2000</v>
      </c>
      <c r="F14" s="7">
        <f>IF(YearToDateTable[[#This Row],[Budget]]="","",YearToDateTable[[#This Row],[Budget]]-YearToDateTable[[#This Row],[Actual]])</f>
        <v>2000</v>
      </c>
      <c r="G14" s="8">
        <f>IFERROR(YearToDateTable[[#This Row],[Remaining $]]/YearToDateTable[[#This Row],[Budget]],"")</f>
        <v>1</v>
      </c>
    </row>
    <row r="15" spans="2:7" ht="39" customHeight="1" x14ac:dyDescent="0.35">
      <c r="B15" s="9">
        <v>6100</v>
      </c>
      <c r="C15" s="10" t="s">
        <v>56</v>
      </c>
      <c r="D15" s="11">
        <f>SUMIF(MonthlyExpensesSummary[G/L Code],YearToDateTable[[#This Row],[G/L Code]],MonthlyExpensesSummary[Total])</f>
        <v>0</v>
      </c>
      <c r="E15" s="11">
        <v>750</v>
      </c>
      <c r="F15" s="12">
        <f>IF(YearToDateTable[[#This Row],[Budget]]="","",YearToDateTable[[#This Row],[Budget]]-YearToDateTable[[#This Row],[Actual]])</f>
        <v>750</v>
      </c>
      <c r="G15" s="13">
        <f>IFERROR(YearToDateTable[[#This Row],[Remaining $]]/YearToDateTable[[#This Row],[Budget]],"")</f>
        <v>1</v>
      </c>
    </row>
    <row r="16" spans="2:7" ht="39" customHeight="1" x14ac:dyDescent="0.35">
      <c r="B16" s="4">
        <v>7000</v>
      </c>
      <c r="C16" s="5" t="s">
        <v>164</v>
      </c>
      <c r="D16" s="6">
        <f>SUMIF(MonthlyExpensesSummary[G/L Code],YearToDateTable[[#This Row],[G/L Code]],MonthlyExpensesSummary[Total])</f>
        <v>0</v>
      </c>
      <c r="E16" s="6">
        <v>4000</v>
      </c>
      <c r="F16" s="7">
        <f>IF(YearToDateTable[[#This Row],[Budget]]="","",YearToDateTable[[#This Row],[Budget]]-YearToDateTable[[#This Row],[Actual]])</f>
        <v>4000</v>
      </c>
      <c r="G16" s="8">
        <f>IFERROR(YearToDateTable[[#This Row],[Remaining $]]/YearToDateTable[[#This Row],[Budget]],"")</f>
        <v>1</v>
      </c>
    </row>
    <row r="17" spans="2:7" ht="39" customHeight="1" x14ac:dyDescent="0.35">
      <c r="B17" s="14">
        <v>7100</v>
      </c>
      <c r="C17" s="15" t="s">
        <v>165</v>
      </c>
      <c r="D17" s="16">
        <f>SUMIF(MonthlyExpensesSummary[G/L Code],YearToDateTable[[#This Row],[G/L Code]],MonthlyExpensesSummary[Total])</f>
        <v>0</v>
      </c>
      <c r="E17" s="16">
        <v>2000</v>
      </c>
      <c r="F17" s="17">
        <f>IF(YearToDateTable[[#This Row],[Budget]]="","",YearToDateTable[[#This Row],[Budget]]-YearToDateTable[[#This Row],[Actual]])</f>
        <v>2000</v>
      </c>
      <c r="G17" s="18">
        <f>IFERROR(YearToDateTable[[#This Row],[Remaining $]]/YearToDateTable[[#This Row],[Budget]],"")</f>
        <v>1</v>
      </c>
    </row>
    <row r="18" spans="2:7" ht="39" customHeight="1" x14ac:dyDescent="0.35">
      <c r="B18" s="14">
        <v>10200</v>
      </c>
      <c r="C18" s="15" t="s">
        <v>78</v>
      </c>
      <c r="D18" s="16">
        <f>SUMIF(MonthlyExpensesSummary[G/L Code],YearToDateTable[[#This Row],[G/L Code]],MonthlyExpensesSummary[Total])</f>
        <v>0</v>
      </c>
      <c r="E18" s="16">
        <v>1000</v>
      </c>
      <c r="F18" s="17">
        <f>IF(YearToDateTable[[#This Row],[Budget]]="","",YearToDateTable[[#This Row],[Budget]]-YearToDateTable[[#This Row],[Actual]])</f>
        <v>1000</v>
      </c>
      <c r="G18" s="18">
        <f>IFERROR(YearToDateTable[[#This Row],[Remaining $]]/YearToDateTable[[#This Row],[Budget]],"")</f>
        <v>1</v>
      </c>
    </row>
    <row r="19" spans="2:7" ht="39" customHeight="1" x14ac:dyDescent="0.35">
      <c r="B19" s="14">
        <v>10300</v>
      </c>
      <c r="C19" s="15" t="s">
        <v>79</v>
      </c>
      <c r="D19" s="16">
        <f>SUMIF(MonthlyExpensesSummary[G/L Code],YearToDateTable[[#This Row],[G/L Code]],MonthlyExpensesSummary[Total])</f>
        <v>0</v>
      </c>
      <c r="E19" s="16">
        <v>500</v>
      </c>
      <c r="F19" s="17">
        <f>IF(YearToDateTable[[#This Row],[Budget]]="","",YearToDateTable[[#This Row],[Budget]]-YearToDateTable[[#This Row],[Actual]])</f>
        <v>500</v>
      </c>
      <c r="G19" s="18">
        <f>IFERROR(YearToDateTable[[#This Row],[Remaining $]]/YearToDateTable[[#This Row],[Budget]],"")</f>
        <v>1</v>
      </c>
    </row>
    <row r="20" spans="2:7" ht="39" customHeight="1" x14ac:dyDescent="0.35">
      <c r="B20" s="14">
        <v>10200</v>
      </c>
      <c r="C20" s="15" t="s">
        <v>168</v>
      </c>
      <c r="D20" s="16">
        <f>SUMIF(MonthlyExpensesSummary[G/L Code],YearToDateTable[[#This Row],[G/L Code]],MonthlyExpensesSummary[Total])</f>
        <v>0</v>
      </c>
      <c r="E20" s="16">
        <v>1000</v>
      </c>
      <c r="F20" s="17">
        <f>IF(YearToDateTable[[#This Row],[Budget]]="","",YearToDateTable[[#This Row],[Budget]]-YearToDateTable[[#This Row],[Actual]])</f>
        <v>1000</v>
      </c>
      <c r="G20" s="18">
        <f>IFERROR(YearToDateTable[[#This Row],[Remaining $]]/YearToDateTable[[#This Row],[Budget]],"")</f>
        <v>1</v>
      </c>
    </row>
    <row r="21" spans="2:7" ht="39" customHeight="1" x14ac:dyDescent="0.35">
      <c r="B21" s="14">
        <v>10300</v>
      </c>
      <c r="C21" s="15" t="s">
        <v>169</v>
      </c>
      <c r="D21" s="16">
        <f>SUMIF(MonthlyExpensesSummary[G/L Code],YearToDateTable[[#This Row],[G/L Code]],MonthlyExpensesSummary[Total])</f>
        <v>0</v>
      </c>
      <c r="E21" s="16">
        <v>500</v>
      </c>
      <c r="F21" s="17">
        <f>IF(YearToDateTable[[#This Row],[Budget]]="","",YearToDateTable[[#This Row],[Budget]]-YearToDateTable[[#This Row],[Actual]])</f>
        <v>500</v>
      </c>
      <c r="G21" s="18">
        <f>IFERROR(YearToDateTable[[#This Row],[Remaining $]]/YearToDateTable[[#This Row],[Budget]],"")</f>
        <v>1</v>
      </c>
    </row>
    <row r="22" spans="2:7" ht="39" customHeight="1" x14ac:dyDescent="0.35">
      <c r="B22" s="75">
        <v>9000</v>
      </c>
      <c r="C22" s="10" t="s">
        <v>59</v>
      </c>
      <c r="D22" s="76">
        <f>SUMIF(MonthlyExpensesSummary[G/L Code],YearToDateTable[[#This Row],[G/L Code]],MonthlyExpensesSummary[Total])</f>
        <v>0</v>
      </c>
      <c r="E22" s="76">
        <v>13000</v>
      </c>
      <c r="F22" s="77">
        <f>IF(YearToDateTable[[#This Row],[Budget]]="","",YearToDateTable[[#This Row],[Budget]]-YearToDateTable[[#This Row],[Actual]])</f>
        <v>13000</v>
      </c>
      <c r="G22" s="78">
        <f>IFERROR(YearToDateTable[[#This Row],[Remaining $]]/YearToDateTable[[#This Row],[Budget]],"")</f>
        <v>1</v>
      </c>
    </row>
    <row r="23" spans="2:7" ht="39" customHeight="1" x14ac:dyDescent="0.35">
      <c r="B23" s="75">
        <v>9100</v>
      </c>
      <c r="C23" s="10" t="s">
        <v>60</v>
      </c>
      <c r="D23" s="76">
        <f>SUMIF(MonthlyExpensesSummary[G/L Code],YearToDateTable[[#This Row],[G/L Code]],MonthlyExpensesSummary[Total])</f>
        <v>0</v>
      </c>
      <c r="E23" s="76">
        <v>13000</v>
      </c>
      <c r="F23" s="77">
        <f>IF(YearToDateTable[[#This Row],[Budget]]="","",YearToDateTable[[#This Row],[Budget]]-YearToDateTable[[#This Row],[Actual]])</f>
        <v>13000</v>
      </c>
      <c r="G23" s="78">
        <f>IFERROR(YearToDateTable[[#This Row],[Remaining $]]/YearToDateTable[[#This Row],[Budget]],"")</f>
        <v>1</v>
      </c>
    </row>
    <row r="24" spans="2:7" ht="39" customHeight="1" x14ac:dyDescent="0.35">
      <c r="B24" s="75">
        <v>11000</v>
      </c>
      <c r="C24" s="10" t="s">
        <v>61</v>
      </c>
      <c r="D24" s="76">
        <f>SUMIF(MonthlyExpensesSummary[G/L Code],YearToDateTable[[#This Row],[G/L Code]],MonthlyExpensesSummary[Total])</f>
        <v>0</v>
      </c>
      <c r="E24" s="76">
        <v>250</v>
      </c>
      <c r="F24" s="77">
        <f>IF(YearToDateTable[[#This Row],[Budget]]="","",YearToDateTable[[#This Row],[Budget]]-YearToDateTable[[#This Row],[Actual]])</f>
        <v>250</v>
      </c>
      <c r="G24" s="78">
        <f>IFERROR(YearToDateTable[[#This Row],[Remaining $]]/YearToDateTable[[#This Row],[Budget]],"")</f>
        <v>1</v>
      </c>
    </row>
    <row r="25" spans="2:7" ht="39" customHeight="1" x14ac:dyDescent="0.35">
      <c r="B25" s="118">
        <v>12000</v>
      </c>
      <c r="C25" s="119" t="s">
        <v>173</v>
      </c>
      <c r="D25" s="76">
        <f>SUMIF(MonthlyExpensesSummary[G/L Code],YearToDateTable[[#This Row],[G/L Code]],MonthlyExpensesSummary[Total])</f>
        <v>0</v>
      </c>
      <c r="E25" s="76"/>
      <c r="F25" s="77" t="str">
        <f>IF(YearToDateTable[[#This Row],[Budget]]="","",YearToDateTable[[#This Row],[Budget]]-YearToDateTable[[#This Row],[Actual]])</f>
        <v/>
      </c>
      <c r="G25" s="78" t="str">
        <f>IFERROR(YearToDateTable[[#This Row],[Remaining $]]/YearToDateTable[[#This Row],[Budget]],"")</f>
        <v/>
      </c>
    </row>
    <row r="26" spans="2:7" ht="39" customHeight="1" x14ac:dyDescent="0.35">
      <c r="B26" s="75">
        <v>12500</v>
      </c>
      <c r="C26" s="10" t="s">
        <v>69</v>
      </c>
      <c r="D26" s="76">
        <f>SUMIF(MonthlyExpensesSummary[G/L Code],YearToDateTable[[#This Row],[G/L Code]],MonthlyExpensesSummary[Total])</f>
        <v>0</v>
      </c>
      <c r="E26" s="76">
        <v>250</v>
      </c>
      <c r="F26" s="77">
        <f>IF(YearToDateTable[[#This Row],[Budget]]="","",YearToDateTable[[#This Row],[Budget]]-YearToDateTable[[#This Row],[Actual]])</f>
        <v>250</v>
      </c>
      <c r="G26" s="78">
        <f>IFERROR(YearToDateTable[[#This Row],[Remaining $]]/YearToDateTable[[#This Row],[Budget]],"")</f>
        <v>1</v>
      </c>
    </row>
    <row r="27" spans="2:7" ht="39" customHeight="1" x14ac:dyDescent="0.35">
      <c r="B27" s="75">
        <v>12600</v>
      </c>
      <c r="C27" s="10" t="s">
        <v>170</v>
      </c>
      <c r="D27" s="76">
        <f>SUMIF(MonthlyExpensesSummary[G/L Code],YearToDateTable[[#This Row],[G/L Code]],MonthlyExpensesSummary[Total])</f>
        <v>0</v>
      </c>
      <c r="E27" s="76">
        <v>200</v>
      </c>
      <c r="F27" s="77">
        <f>IF(YearToDateTable[[#This Row],[Budget]]="","",YearToDateTable[[#This Row],[Budget]]-YearToDateTable[[#This Row],[Actual]])</f>
        <v>200</v>
      </c>
      <c r="G27" s="78">
        <f>IFERROR(YearToDateTable[[#This Row],[Remaining $]]/YearToDateTable[[#This Row],[Budget]],"")</f>
        <v>1</v>
      </c>
    </row>
    <row r="28" spans="2:7" ht="39" customHeight="1" x14ac:dyDescent="0.35">
      <c r="B28" s="75">
        <v>12700</v>
      </c>
      <c r="C28" s="10" t="s">
        <v>71</v>
      </c>
      <c r="D28" s="76">
        <f>SUMIF(MonthlyExpensesSummary[G/L Code],YearToDateTable[[#This Row],[G/L Code]],MonthlyExpensesSummary[Total])</f>
        <v>0</v>
      </c>
      <c r="E28" s="76">
        <v>350</v>
      </c>
      <c r="F28" s="77">
        <f>IF(YearToDateTable[[#This Row],[Budget]]="","",YearToDateTable[[#This Row],[Budget]]-YearToDateTable[[#This Row],[Actual]])</f>
        <v>350</v>
      </c>
      <c r="G28" s="78">
        <f>IFERROR(YearToDateTable[[#This Row],[Remaining $]]/YearToDateTable[[#This Row],[Budget]],"")</f>
        <v>1</v>
      </c>
    </row>
    <row r="29" spans="2:7" ht="39" customHeight="1" x14ac:dyDescent="0.35">
      <c r="B29" s="75">
        <v>12800</v>
      </c>
      <c r="C29" s="10" t="s">
        <v>70</v>
      </c>
      <c r="D29" s="76">
        <f>SUMIF(MonthlyExpensesSummary[G/L Code],YearToDateTable[[#This Row],[G/L Code]],MonthlyExpensesSummary[Total])</f>
        <v>0</v>
      </c>
      <c r="E29" s="76">
        <v>500</v>
      </c>
      <c r="F29" s="77">
        <f>IF(YearToDateTable[[#This Row],[Budget]]="","",YearToDateTable[[#This Row],[Budget]]-YearToDateTable[[#This Row],[Actual]])</f>
        <v>500</v>
      </c>
      <c r="G29" s="78">
        <f>IFERROR(YearToDateTable[[#This Row],[Remaining $]]/YearToDateTable[[#This Row],[Budget]],"")</f>
        <v>1</v>
      </c>
    </row>
    <row r="30" spans="2:7" ht="39" customHeight="1" x14ac:dyDescent="0.35">
      <c r="B30" s="75">
        <v>13000</v>
      </c>
      <c r="C30" s="10" t="s">
        <v>48</v>
      </c>
      <c r="D30" s="76">
        <f>SUMIF(MonthlyExpensesSummary[G/L Code],YearToDateTable[[#This Row],[G/L Code]],MonthlyExpensesSummary[Total])</f>
        <v>-225</v>
      </c>
      <c r="E30" s="76">
        <v>700</v>
      </c>
      <c r="F30" s="77">
        <f>IF(YearToDateTable[[#This Row],[Budget]]="","",YearToDateTable[[#This Row],[Budget]]-YearToDateTable[[#This Row],[Actual]])</f>
        <v>925</v>
      </c>
      <c r="G30" s="78">
        <f>IFERROR(YearToDateTable[[#This Row],[Remaining $]]/YearToDateTable[[#This Row],[Budget]],"")</f>
        <v>1.3214285714285714</v>
      </c>
    </row>
    <row r="31" spans="2:7" ht="39" customHeight="1" x14ac:dyDescent="0.35">
      <c r="B31" s="75">
        <v>14000</v>
      </c>
      <c r="C31" s="10" t="s">
        <v>49</v>
      </c>
      <c r="D31" s="76">
        <f>SUMIF(MonthlyExpensesSummary[G/L Code],YearToDateTable[[#This Row],[G/L Code]],MonthlyExpensesSummary[Total])</f>
        <v>-4308.2</v>
      </c>
      <c r="E31" s="76">
        <v>11000</v>
      </c>
      <c r="F31" s="77">
        <f>IF(YearToDateTable[[#This Row],[Budget]]="","",YearToDateTable[[#This Row],[Budget]]-YearToDateTable[[#This Row],[Actual]])</f>
        <v>15308.2</v>
      </c>
      <c r="G31" s="78">
        <f>IFERROR(YearToDateTable[[#This Row],[Remaining $]]/YearToDateTable[[#This Row],[Budget]],"")</f>
        <v>1.3916545454545455</v>
      </c>
    </row>
    <row r="32" spans="2:7" ht="39" customHeight="1" x14ac:dyDescent="0.35">
      <c r="B32" s="75">
        <v>14500</v>
      </c>
      <c r="C32" s="10" t="s">
        <v>68</v>
      </c>
      <c r="D32" s="76">
        <f>SUMIF(MonthlyExpensesSummary[G/L Code],YearToDateTable[[#This Row],[G/L Code]],MonthlyExpensesSummary[Total])</f>
        <v>0</v>
      </c>
      <c r="E32" s="76">
        <v>1100</v>
      </c>
      <c r="F32" s="77">
        <f>IF(YearToDateTable[[#This Row],[Budget]]="","",YearToDateTable[[#This Row],[Budget]]-YearToDateTable[[#This Row],[Actual]])</f>
        <v>1100</v>
      </c>
      <c r="G32" s="78">
        <f>IFERROR(YearToDateTable[[#This Row],[Remaining $]]/YearToDateTable[[#This Row],[Budget]],"")</f>
        <v>1</v>
      </c>
    </row>
    <row r="33" spans="2:7" ht="39" customHeight="1" x14ac:dyDescent="0.35">
      <c r="B33" s="75">
        <v>15000</v>
      </c>
      <c r="C33" s="10" t="s">
        <v>47</v>
      </c>
      <c r="D33" s="76">
        <f>SUMIF(MonthlyExpensesSummary[G/L Code],YearToDateTable[[#This Row],[G/L Code]],MonthlyExpensesSummary[Total])</f>
        <v>36</v>
      </c>
      <c r="E33" s="76">
        <v>600</v>
      </c>
      <c r="F33" s="77">
        <f>IF(YearToDateTable[[#This Row],[Budget]]="","",YearToDateTable[[#This Row],[Budget]]-YearToDateTable[[#This Row],[Actual]])</f>
        <v>564</v>
      </c>
      <c r="G33" s="78">
        <f>IFERROR(YearToDateTable[[#This Row],[Remaining $]]/YearToDateTable[[#This Row],[Budget]],"")</f>
        <v>0.94</v>
      </c>
    </row>
    <row r="34" spans="2:7" ht="39" customHeight="1" x14ac:dyDescent="0.35">
      <c r="B34" s="75">
        <v>15100</v>
      </c>
      <c r="C34" s="10" t="s">
        <v>65</v>
      </c>
      <c r="D34" s="76">
        <f>SUMIF(MonthlyExpensesSummary[G/L Code],YearToDateTable[[#This Row],[G/L Code]],MonthlyExpensesSummary[Total])</f>
        <v>0</v>
      </c>
      <c r="E34" s="76">
        <v>400</v>
      </c>
      <c r="F34" s="77">
        <f>IF(YearToDateTable[[#This Row],[Budget]]="","",YearToDateTable[[#This Row],[Budget]]-YearToDateTable[[#This Row],[Actual]])</f>
        <v>400</v>
      </c>
      <c r="G34" s="78">
        <f>IFERROR(YearToDateTable[[#This Row],[Remaining $]]/YearToDateTable[[#This Row],[Budget]],"")</f>
        <v>1</v>
      </c>
    </row>
    <row r="35" spans="2:7" ht="39" customHeight="1" x14ac:dyDescent="0.35">
      <c r="B35" s="118">
        <v>15200</v>
      </c>
      <c r="C35" s="119" t="s">
        <v>172</v>
      </c>
      <c r="D35" s="120">
        <f>SUMIF(MonthlyExpensesSummary[G/L Code],YearToDateTable[[#This Row],[G/L Code]],MonthlyExpensesSummary[Total])</f>
        <v>0</v>
      </c>
      <c r="E35" s="120"/>
      <c r="F35" s="77" t="str">
        <f>IF(YearToDateTable[[#This Row],[Budget]]="","",YearToDateTable[[#This Row],[Budget]]-YearToDateTable[[#This Row],[Actual]])</f>
        <v/>
      </c>
      <c r="G35" s="78" t="str">
        <f>IFERROR(YearToDateTable[[#This Row],[Remaining $]]/YearToDateTable[[#This Row],[Budget]],"")</f>
        <v/>
      </c>
    </row>
    <row r="36" spans="2:7" ht="39" customHeight="1" x14ac:dyDescent="0.35">
      <c r="B36" s="75">
        <v>15300</v>
      </c>
      <c r="C36" s="10" t="s">
        <v>84</v>
      </c>
      <c r="D36" s="76">
        <f>SUMIF(MonthlyExpensesSummary[G/L Code],YearToDateTable[[#This Row],[G/L Code]],MonthlyExpensesSummary[Total])</f>
        <v>0</v>
      </c>
      <c r="E36" s="76">
        <v>250</v>
      </c>
      <c r="F36" s="77">
        <f>IF(YearToDateTable[[#This Row],[Budget]]="","",YearToDateTable[[#This Row],[Budget]]-YearToDateTable[[#This Row],[Actual]])</f>
        <v>250</v>
      </c>
      <c r="G36" s="78">
        <f>IFERROR(YearToDateTable[[#This Row],[Remaining $]]/YearToDateTable[[#This Row],[Budget]],"")</f>
        <v>1</v>
      </c>
    </row>
    <row r="37" spans="2:7" ht="39" customHeight="1" x14ac:dyDescent="0.35">
      <c r="B37" s="75">
        <v>15400</v>
      </c>
      <c r="C37" s="10" t="s">
        <v>91</v>
      </c>
      <c r="D37" s="76">
        <f>SUMIF(MonthlyExpensesSummary[G/L Code],YearToDateTable[[#This Row],[G/L Code]],MonthlyExpensesSummary[Total])</f>
        <v>0</v>
      </c>
      <c r="E37" s="76">
        <v>200</v>
      </c>
      <c r="F37" s="77">
        <f>IF(YearToDateTable[[#This Row],[Budget]]="","",YearToDateTable[[#This Row],[Budget]]-YearToDateTable[[#This Row],[Actual]])</f>
        <v>200</v>
      </c>
      <c r="G37" s="78">
        <f>IFERROR(YearToDateTable[[#This Row],[Remaining $]]/YearToDateTable[[#This Row],[Budget]],"")</f>
        <v>1</v>
      </c>
    </row>
    <row r="38" spans="2:7" ht="39" customHeight="1" x14ac:dyDescent="0.35">
      <c r="B38" s="75">
        <v>16000</v>
      </c>
      <c r="C38" s="10" t="s">
        <v>46</v>
      </c>
      <c r="D38" s="76">
        <f>SUMIF(MonthlyExpensesSummary[G/L Code],YearToDateTable[[#This Row],[G/L Code]],MonthlyExpensesSummary[Total])</f>
        <v>-4</v>
      </c>
      <c r="E38" s="76">
        <v>750.6</v>
      </c>
      <c r="F38" s="77">
        <f>IF(YearToDateTable[[#This Row],[Budget]]="","",YearToDateTable[[#This Row],[Budget]]-YearToDateTable[[#This Row],[Actual]])</f>
        <v>754.6</v>
      </c>
      <c r="G38" s="78">
        <f>IFERROR(YearToDateTable[[#This Row],[Remaining $]]/YearToDateTable[[#This Row],[Budget]],"")</f>
        <v>1.0053290700772715</v>
      </c>
    </row>
    <row r="39" spans="2:7" ht="39" customHeight="1" x14ac:dyDescent="0.35">
      <c r="B39" s="75">
        <v>17000</v>
      </c>
      <c r="C39" s="10" t="s">
        <v>171</v>
      </c>
      <c r="D39" s="76">
        <v>-1500</v>
      </c>
      <c r="E39" s="76">
        <v>0</v>
      </c>
      <c r="F39" s="77">
        <f>IF(YearToDateTable[[#This Row],[Budget]]="","",YearToDateTable[[#This Row],[Budget]]-YearToDateTable[[#This Row],[Actual]])</f>
        <v>1500</v>
      </c>
      <c r="G39" s="78" t="str">
        <f>IFERROR(YearToDateTable[[#This Row],[Remaining $]]/YearToDateTable[[#This Row],[Budget]],"")</f>
        <v/>
      </c>
    </row>
    <row r="40" spans="2:7" ht="39" customHeight="1" x14ac:dyDescent="0.35">
      <c r="B40" s="19" t="s">
        <v>6</v>
      </c>
      <c r="C40" s="19"/>
      <c r="D40" s="20">
        <f>SUBTOTAL(109,YearToDateTable[Actual])</f>
        <v>7224.4000000000015</v>
      </c>
      <c r="E40" s="20">
        <f>SUBTOTAL(109,YearToDateTable[Budget])</f>
        <v>124800.6</v>
      </c>
      <c r="F40" s="20">
        <f>SUBTOTAL(109,YearToDateTable[Remaining $])</f>
        <v>130801.8</v>
      </c>
      <c r="G40" s="21">
        <f>YearToDateTable[[#Totals],[Remaining $]]/YearToDateTable[[#Totals],[Budget]]</f>
        <v>1.0480863072773687</v>
      </c>
    </row>
    <row r="42" spans="2:7" ht="30" customHeight="1" x14ac:dyDescent="0.35">
      <c r="B42" s="88" t="s">
        <v>174</v>
      </c>
    </row>
  </sheetData>
  <mergeCells count="1">
    <mergeCell ref="B2:E2"/>
  </mergeCells>
  <conditionalFormatting sqref="F18">
    <cfRule type="dataBar" priority="1">
      <dataBar>
        <cfvo type="min"/>
        <cfvo type="max"/>
        <color rgb="FFFF555A"/>
      </dataBar>
      <extLst>
        <ext xmlns:x14="http://schemas.microsoft.com/office/spreadsheetml/2009/9/main" uri="{B025F937-C7B1-47D3-B67F-A62EFF666E3E}">
          <x14:id>{B75899FB-156E-4A6E-81DC-489CDDFABA08}</x14:id>
        </ext>
      </extLst>
    </cfRule>
  </conditionalFormatting>
  <conditionalFormatting sqref="F19:F37">
    <cfRule type="dataBar" priority="12">
      <dataBar>
        <cfvo type="min"/>
        <cfvo type="max"/>
        <color rgb="FFFF555A"/>
      </dataBar>
      <extLst>
        <ext xmlns:x14="http://schemas.microsoft.com/office/spreadsheetml/2009/9/main" uri="{B025F937-C7B1-47D3-B67F-A62EFF666E3E}">
          <x14:id>{781C0018-6ABA-47BC-A894-D53BD5B3D392}</x14:id>
        </ext>
      </extLst>
    </cfRule>
  </conditionalFormatting>
  <conditionalFormatting sqref="F4:F17">
    <cfRule type="dataBar" priority="14">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Create a General Ledger with Budget Comparison in this workbook. Enter details in Year to Date table in this worksheet. Navigation link is in cell B1" sqref="A1" xr:uid="{00000000-0002-0000-0000-000000000000}"/>
    <dataValidation allowBlank="1" showInputMessage="1" showErrorMessage="1" prompt="Title of this worksheet is in this cell. Enter year in cell G2" sqref="B2:E2" xr:uid="{00000000-0002-0000-0000-000001000000}"/>
    <dataValidation allowBlank="1" showInputMessage="1" showErrorMessage="1" prompt="Enter year in cell at right" sqref="F2" xr:uid="{00000000-0002-0000-0000-000002000000}"/>
    <dataValidation allowBlank="1" showInputMessage="1" showErrorMessage="1" prompt="Enter year in this cell" sqref="G2" xr:uid="{00000000-0002-0000-0000-000003000000}"/>
    <dataValidation allowBlank="1" showInputMessage="1" showErrorMessage="1" prompt="Enter General Ledger code in this column under this heading" sqref="B3" xr:uid="{00000000-0002-0000-0000-000004000000}"/>
    <dataValidation allowBlank="1" showInputMessage="1" showErrorMessage="1" prompt="Enter Account Title in this column under this heading" sqref="C3" xr:uid="{00000000-0002-0000-0000-000005000000}"/>
    <dataValidation allowBlank="1" showInputMessage="1" showErrorMessage="1" prompt="Actual amount is automatically calculated in this column under this heading" sqref="D3" xr:uid="{00000000-0002-0000-0000-000006000000}"/>
    <dataValidation allowBlank="1" showInputMessage="1" showErrorMessage="1" prompt="Enter Budget Amount in this column under this heading" sqref="E3" xr:uid="{00000000-0002-0000-0000-000007000000}"/>
    <dataValidation allowBlank="1" showInputMessage="1" showErrorMessage="1" prompt="Data bar for Remaining amount is automatically updated in this column under this heading" sqref="F3" xr:uid="{00000000-0002-0000-0000-000008000000}"/>
    <dataValidation allowBlank="1" showInputMessage="1" showErrorMessage="1" prompt="Remaining percent is automatically calculated in this column under this heading" sqref="G3" xr:uid="{00000000-0002-0000-0000-000009000000}"/>
    <dataValidation allowBlank="1" showErrorMessage="1" sqref="B1" xr:uid="{00000000-0002-0000-0000-00000A000000}"/>
  </dataValidations>
  <printOptions horizontalCentered="1"/>
  <pageMargins left="0.4" right="0.4" top="0.4" bottom="0.6" header="0.3" footer="0.3"/>
  <pageSetup scale="83"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75899FB-156E-4A6E-81DC-489CDDFABA08}">
            <x14:dataBar minLength="0" maxLength="100" border="1" negativeBarBorderColorSameAsPositive="0">
              <x14:cfvo type="autoMin"/>
              <x14:cfvo type="autoMax"/>
              <x14:borderColor rgb="FFFF555A"/>
              <x14:negativeFillColor rgb="FFFF0000"/>
              <x14:negativeBorderColor rgb="FFFF0000"/>
              <x14:axisColor rgb="FF000000"/>
            </x14:dataBar>
          </x14:cfRule>
          <xm:sqref>F18</xm:sqref>
        </x14:conditionalFormatting>
        <x14:conditionalFormatting xmlns:xm="http://schemas.microsoft.com/office/excel/2006/main">
          <x14:cfRule type="dataBar" id="{781C0018-6ABA-47BC-A894-D53BD5B3D392}">
            <x14:dataBar minLength="0" maxLength="100" border="1" negativeBarBorderColorSameAsPositive="0">
              <x14:cfvo type="autoMin"/>
              <x14:cfvo type="autoMax"/>
              <x14:borderColor rgb="FFFF555A"/>
              <x14:negativeFillColor rgb="FFFF0000"/>
              <x14:negativeBorderColor rgb="FFFF0000"/>
              <x14:axisColor rgb="FF000000"/>
            </x14:dataBar>
          </x14:cfRule>
          <xm:sqref>F19:F37</xm:sqref>
        </x14:conditionalFormatting>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B1:Q43"/>
  <sheetViews>
    <sheetView showGridLines="0" topLeftCell="A38" workbookViewId="0">
      <selection activeCell="C43" sqref="C43"/>
    </sheetView>
  </sheetViews>
  <sheetFormatPr defaultColWidth="8.875" defaultRowHeight="30" customHeight="1" x14ac:dyDescent="0.35"/>
  <cols>
    <col min="1" max="1" width="2.625" customWidth="1"/>
    <col min="2" max="2" width="12.375" customWidth="1"/>
    <col min="3" max="3" width="24.375" customWidth="1"/>
    <col min="4" max="16" width="13" customWidth="1"/>
  </cols>
  <sheetData>
    <row r="1" spans="2:17" ht="43.35" customHeight="1" x14ac:dyDescent="0.35">
      <c r="B1" s="67"/>
      <c r="C1" s="67"/>
    </row>
    <row r="2" spans="2:17" ht="153" customHeight="1" x14ac:dyDescent="0.35">
      <c r="B2" s="127" t="s">
        <v>26</v>
      </c>
      <c r="C2" s="128"/>
      <c r="D2" s="128"/>
      <c r="E2" s="128"/>
      <c r="F2" s="128"/>
      <c r="G2" s="128"/>
      <c r="H2" s="128"/>
      <c r="I2" s="128"/>
      <c r="J2" s="128"/>
      <c r="K2" s="128"/>
      <c r="L2" s="128"/>
      <c r="M2" s="128"/>
      <c r="N2" s="128"/>
      <c r="O2" s="128"/>
      <c r="P2" s="128"/>
      <c r="Q2" s="128"/>
    </row>
    <row r="3" spans="2:17" ht="37.35" customHeight="1" x14ac:dyDescent="0.35">
      <c r="B3" s="68" t="s">
        <v>43</v>
      </c>
      <c r="D3" s="69">
        <f>DATEVALUE("1-JAN"&amp;_YEAR)</f>
        <v>44927</v>
      </c>
      <c r="E3" s="69">
        <f>DATEVALUE("1-FEB"&amp;_YEAR)</f>
        <v>44958</v>
      </c>
      <c r="F3" s="69">
        <f>DATEVALUE("1-MAR"&amp;_YEAR)</f>
        <v>44986</v>
      </c>
      <c r="G3" s="69">
        <f>DATEVALUE("1-APR"&amp;_YEAR)</f>
        <v>45017</v>
      </c>
      <c r="H3" s="69">
        <f>DATEVALUE("1-MAY"&amp;_YEAR)</f>
        <v>45047</v>
      </c>
      <c r="I3" s="69">
        <f>DATEVALUE("1-JUN"&amp;_YEAR)</f>
        <v>45078</v>
      </c>
      <c r="J3" s="69">
        <f>DATEVALUE("1-JULY"&amp;_YEAR)</f>
        <v>45108</v>
      </c>
      <c r="K3" s="69">
        <f>DATEVALUE("1-AUG"&amp;_YEAR)</f>
        <v>45139</v>
      </c>
      <c r="L3" s="69">
        <f>DATEVALUE("1-SEP"&amp;_YEAR)</f>
        <v>45170</v>
      </c>
      <c r="M3" s="69">
        <f>DATEVALUE("1-OCT"&amp;_YEAR)</f>
        <v>45200</v>
      </c>
      <c r="N3" s="69">
        <f>DATEVALUE("1-NOV"&amp;_YEAR)</f>
        <v>45231</v>
      </c>
      <c r="O3" s="69">
        <f>DATEVALUE("1-DEC"&amp;_YEAR)</f>
        <v>45261</v>
      </c>
    </row>
    <row r="4" spans="2:17" ht="37.5" customHeight="1" x14ac:dyDescent="0.35">
      <c r="B4" s="3"/>
      <c r="D4" s="69">
        <f>EOMONTH(D3,0)</f>
        <v>44957</v>
      </c>
      <c r="E4" s="69">
        <f>EOMONTH(E3,0)</f>
        <v>44985</v>
      </c>
      <c r="F4" s="69">
        <f>EOMONTH(F3,0)</f>
        <v>45016</v>
      </c>
      <c r="G4" s="69">
        <f>EOMONTH(G3,0)</f>
        <v>45046</v>
      </c>
      <c r="H4" s="69">
        <f>EOMONTH(H3,0)</f>
        <v>45077</v>
      </c>
      <c r="I4" s="69">
        <f t="shared" ref="I4:O4" si="0">EOMONTH(I3,0)</f>
        <v>45107</v>
      </c>
      <c r="J4" s="69">
        <f t="shared" si="0"/>
        <v>45138</v>
      </c>
      <c r="K4" s="69">
        <f t="shared" si="0"/>
        <v>45169</v>
      </c>
      <c r="L4" s="69">
        <f t="shared" si="0"/>
        <v>45199</v>
      </c>
      <c r="M4" s="69">
        <f t="shared" si="0"/>
        <v>45230</v>
      </c>
      <c r="N4" s="69">
        <f t="shared" si="0"/>
        <v>45260</v>
      </c>
      <c r="O4" s="69">
        <f t="shared" si="0"/>
        <v>45291</v>
      </c>
    </row>
    <row r="5" spans="2:17" ht="48" customHeight="1" x14ac:dyDescent="0.35">
      <c r="B5" s="52" t="s">
        <v>0</v>
      </c>
      <c r="C5" s="53" t="s">
        <v>1</v>
      </c>
      <c r="D5" s="54" t="s">
        <v>27</v>
      </c>
      <c r="E5" s="54" t="s">
        <v>28</v>
      </c>
      <c r="F5" s="54" t="s">
        <v>29</v>
      </c>
      <c r="G5" s="54" t="s">
        <v>30</v>
      </c>
      <c r="H5" s="54" t="s">
        <v>31</v>
      </c>
      <c r="I5" s="54" t="s">
        <v>32</v>
      </c>
      <c r="J5" s="54" t="s">
        <v>33</v>
      </c>
      <c r="K5" s="54" t="s">
        <v>34</v>
      </c>
      <c r="L5" s="54" t="s">
        <v>35</v>
      </c>
      <c r="M5" s="54" t="s">
        <v>36</v>
      </c>
      <c r="N5" s="54" t="s">
        <v>37</v>
      </c>
      <c r="O5" s="54" t="s">
        <v>38</v>
      </c>
      <c r="P5" s="54" t="s">
        <v>6</v>
      </c>
      <c r="Q5" s="55" t="s">
        <v>39</v>
      </c>
    </row>
    <row r="6" spans="2:17" ht="48" customHeight="1" x14ac:dyDescent="0.35">
      <c r="B6" s="42">
        <v>1000</v>
      </c>
      <c r="C6" s="43" t="s">
        <v>51</v>
      </c>
      <c r="D6" s="29">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6" s="29">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6" s="29">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6" s="29">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6" s="29">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6" s="29">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6" s="29">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6" s="29">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6" s="29">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6" s="29">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6" s="29">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6" s="29">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6" s="29">
        <f>SUM(MonthlyExpensesSummary[[#This Row],[January]:[December]])</f>
        <v>0</v>
      </c>
      <c r="Q6" s="30"/>
    </row>
    <row r="7" spans="2:17" ht="48" customHeight="1" x14ac:dyDescent="0.35">
      <c r="B7" s="9">
        <v>1100</v>
      </c>
      <c r="C7" s="43" t="s">
        <v>52</v>
      </c>
      <c r="D7" s="22">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7" s="22">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7" s="22">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7" s="22">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7" s="22">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7" s="22">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7" s="22">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7" s="22">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7" s="22">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7" s="22">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7" s="22">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7" s="22">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7" s="22">
        <f>SUM(MonthlyExpensesSummary[[#This Row],[January]:[December]])</f>
        <v>0</v>
      </c>
      <c r="Q7" s="23"/>
    </row>
    <row r="8" spans="2:17" ht="48" customHeight="1" x14ac:dyDescent="0.35">
      <c r="B8" s="4">
        <v>2000</v>
      </c>
      <c r="C8" s="5" t="s">
        <v>53</v>
      </c>
      <c r="D8"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8"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8"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8"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8"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8"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8"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8"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8"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8"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8"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8"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8" s="71">
        <f>SUM(MonthlyExpensesSummary[[#This Row],[January]:[December]])</f>
        <v>0</v>
      </c>
      <c r="Q8" s="72"/>
    </row>
    <row r="9" spans="2:17" ht="48" customHeight="1" x14ac:dyDescent="0.35">
      <c r="B9" s="9">
        <v>2100</v>
      </c>
      <c r="C9" s="10" t="s">
        <v>54</v>
      </c>
      <c r="D9"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9"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9"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9"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9"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9"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9"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9"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9"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9"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9"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9"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9" s="71">
        <f>SUM(MonthlyExpensesSummary[[#This Row],[January]:[December]])</f>
        <v>0</v>
      </c>
      <c r="Q9" s="72"/>
    </row>
    <row r="10" spans="2:17" ht="48" customHeight="1" x14ac:dyDescent="0.35">
      <c r="B10" s="4">
        <v>3000</v>
      </c>
      <c r="C10" s="5" t="s">
        <v>119</v>
      </c>
      <c r="D10"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10"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10"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10"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10"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10"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10"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10"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10"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10"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10"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10"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10" s="71">
        <f>SUM(MonthlyExpensesSummary[[#This Row],[January]:[December]])</f>
        <v>0</v>
      </c>
      <c r="Q10" s="72"/>
    </row>
    <row r="11" spans="2:17" ht="48" customHeight="1" x14ac:dyDescent="0.35">
      <c r="B11" s="9">
        <v>3100</v>
      </c>
      <c r="C11" s="10" t="s">
        <v>77</v>
      </c>
      <c r="D11"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11"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11"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11"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11"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11"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11"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11"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11"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11"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11"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11"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11" s="71">
        <f>SUM(MonthlyExpensesSummary[[#This Row],[January]:[December]])</f>
        <v>0</v>
      </c>
      <c r="Q11" s="72"/>
    </row>
    <row r="12" spans="2:17" ht="48" customHeight="1" x14ac:dyDescent="0.35">
      <c r="B12" s="4">
        <v>4000</v>
      </c>
      <c r="C12" s="5" t="s">
        <v>166</v>
      </c>
      <c r="D12"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12"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12"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12"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12"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12"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12"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12"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12"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12"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12"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12"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12" s="71">
        <f>SUM(MonthlyExpensesSummary[[#This Row],[January]:[December]])</f>
        <v>0</v>
      </c>
      <c r="Q12" s="72"/>
    </row>
    <row r="13" spans="2:17" ht="48" customHeight="1" x14ac:dyDescent="0.35">
      <c r="B13" s="9">
        <v>4100</v>
      </c>
      <c r="C13" s="10" t="s">
        <v>167</v>
      </c>
      <c r="D13"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13"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13"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13"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13"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13"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13"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13"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13"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13"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13"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13"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13" s="71">
        <f>SUM(MonthlyExpensesSummary[[#This Row],[January]:[December]])</f>
        <v>0</v>
      </c>
      <c r="Q13" s="72"/>
    </row>
    <row r="14" spans="2:17" ht="48" customHeight="1" x14ac:dyDescent="0.35">
      <c r="B14" s="75">
        <v>4400</v>
      </c>
      <c r="C14" s="10" t="s">
        <v>176</v>
      </c>
      <c r="D14"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14"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14"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14"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14"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14"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14"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14"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14"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14"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14"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14"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14" s="71">
        <f>SUM(MonthlyExpensesSummary[[#This Row],[January]:[December]])</f>
        <v>0</v>
      </c>
      <c r="Q14" s="72"/>
    </row>
    <row r="15" spans="2:17" ht="48" customHeight="1" x14ac:dyDescent="0.35">
      <c r="B15" s="75">
        <v>5000</v>
      </c>
      <c r="C15" s="10" t="s">
        <v>58</v>
      </c>
      <c r="D15"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15"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15"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15"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15"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15"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15"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15"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15"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15"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15"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15"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15" s="71">
        <f>SUM(MonthlyExpensesSummary[[#This Row],[January]:[December]])</f>
        <v>0</v>
      </c>
      <c r="Q15" s="72"/>
    </row>
    <row r="16" spans="2:17" ht="48" customHeight="1" x14ac:dyDescent="0.35">
      <c r="B16" s="75">
        <v>5100</v>
      </c>
      <c r="C16" s="10" t="s">
        <v>57</v>
      </c>
      <c r="D16"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16"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16"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16"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16"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16"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16"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16"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16"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16"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16"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16"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16" s="71">
        <f>SUM(MonthlyExpensesSummary[[#This Row],[January]:[December]])</f>
        <v>0</v>
      </c>
      <c r="Q16" s="72"/>
    </row>
    <row r="17" spans="2:17" ht="48" customHeight="1" x14ac:dyDescent="0.35">
      <c r="B17" s="4">
        <v>6000</v>
      </c>
      <c r="C17" s="5" t="s">
        <v>55</v>
      </c>
      <c r="D17"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17"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17"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17"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17"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17"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17"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17"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17"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17"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17"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17"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17" s="71">
        <f>SUM(MonthlyExpensesSummary[[#This Row],[January]:[December]])</f>
        <v>0</v>
      </c>
      <c r="Q17" s="72"/>
    </row>
    <row r="18" spans="2:17" ht="48" customHeight="1" x14ac:dyDescent="0.35">
      <c r="B18" s="9">
        <v>6100</v>
      </c>
      <c r="C18" s="10" t="s">
        <v>56</v>
      </c>
      <c r="D18"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18"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18"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18"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18"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18"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18"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18"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18"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18"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18"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18"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18" s="71">
        <f>SUM(MonthlyExpensesSummary[[#This Row],[January]:[December]])</f>
        <v>0</v>
      </c>
      <c r="Q18" s="72"/>
    </row>
    <row r="19" spans="2:17" ht="48" customHeight="1" x14ac:dyDescent="0.35">
      <c r="B19" s="4">
        <v>7000</v>
      </c>
      <c r="C19" s="5" t="s">
        <v>164</v>
      </c>
      <c r="D19"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19"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19"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19"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19"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19"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19"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19"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19"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19"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19"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19"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19" s="71">
        <f>SUM(MonthlyExpensesSummary[[#This Row],[January]:[December]])</f>
        <v>0</v>
      </c>
      <c r="Q19" s="72"/>
    </row>
    <row r="20" spans="2:17" ht="48" customHeight="1" x14ac:dyDescent="0.35">
      <c r="B20" s="14">
        <v>7100</v>
      </c>
      <c r="C20" s="15" t="s">
        <v>165</v>
      </c>
      <c r="D20"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20"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20"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20"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20"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20"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20"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20"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20"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20"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20"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20"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20" s="71">
        <f>SUM(MonthlyExpensesSummary[[#This Row],[January]:[December]])</f>
        <v>0</v>
      </c>
      <c r="Q20" s="72"/>
    </row>
    <row r="21" spans="2:17" ht="48" customHeight="1" x14ac:dyDescent="0.35">
      <c r="B21" s="14">
        <v>10200</v>
      </c>
      <c r="C21" s="15" t="s">
        <v>78</v>
      </c>
      <c r="D21"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21"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21"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21"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21"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21"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21"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21"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21"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21"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21"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21"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21" s="71">
        <f>SUM(MonthlyExpensesSummary[[#This Row],[January]:[December]])</f>
        <v>0</v>
      </c>
      <c r="Q21" s="72"/>
    </row>
    <row r="22" spans="2:17" ht="48" customHeight="1" x14ac:dyDescent="0.35">
      <c r="B22" s="14">
        <v>10300</v>
      </c>
      <c r="C22" s="15" t="s">
        <v>79</v>
      </c>
      <c r="D22"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22"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22"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22"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22"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22"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22"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22"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22"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22"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22"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22"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22" s="71">
        <f>SUM(MonthlyExpensesSummary[[#This Row],[January]:[December]])</f>
        <v>0</v>
      </c>
      <c r="Q22" s="72"/>
    </row>
    <row r="23" spans="2:17" ht="48" customHeight="1" x14ac:dyDescent="0.35">
      <c r="B23" s="14">
        <v>10200</v>
      </c>
      <c r="C23" s="15" t="s">
        <v>168</v>
      </c>
      <c r="D23"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23"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23"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23"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23"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23"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23"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23"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23"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23"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23"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23"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23" s="71">
        <f>SUM(MonthlyExpensesSummary[[#This Row],[January]:[December]])</f>
        <v>0</v>
      </c>
      <c r="Q23" s="72"/>
    </row>
    <row r="24" spans="2:17" ht="48" customHeight="1" x14ac:dyDescent="0.35">
      <c r="B24" s="14">
        <v>10300</v>
      </c>
      <c r="C24" s="15" t="s">
        <v>169</v>
      </c>
      <c r="D24"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24"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24"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24"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24"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24"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24"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24"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24"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24"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24"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24"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24" s="71">
        <f>SUM(MonthlyExpensesSummary[[#This Row],[January]:[December]])</f>
        <v>0</v>
      </c>
      <c r="Q24" s="72"/>
    </row>
    <row r="25" spans="2:17" ht="48" customHeight="1" x14ac:dyDescent="0.35">
      <c r="B25" s="75">
        <v>9000</v>
      </c>
      <c r="C25" s="10" t="s">
        <v>59</v>
      </c>
      <c r="D25" s="24">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25" s="24">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25" s="24">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25" s="24">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25" s="24">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25" s="24">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25" s="24">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25" s="24">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25" s="24">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25" s="24">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25" s="24">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25" s="24">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25" s="24">
        <f>SUM(MonthlyExpensesSummary[[#This Row],[January]:[December]])</f>
        <v>0</v>
      </c>
      <c r="Q25" s="25"/>
    </row>
    <row r="26" spans="2:17" ht="48" customHeight="1" x14ac:dyDescent="0.35">
      <c r="B26" s="75">
        <v>9100</v>
      </c>
      <c r="C26" s="10" t="s">
        <v>60</v>
      </c>
      <c r="D26" s="22">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26" s="22">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26" s="22">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26" s="22">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26" s="22">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26" s="22">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26" s="22">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26" s="22">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26" s="22">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26" s="22">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26" s="22">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26" s="22">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26" s="22">
        <f>SUM(MonthlyExpensesSummary[[#This Row],[January]:[December]])</f>
        <v>0</v>
      </c>
      <c r="Q26" s="23"/>
    </row>
    <row r="27" spans="2:17" ht="48" customHeight="1" x14ac:dyDescent="0.35">
      <c r="B27" s="75">
        <v>11000</v>
      </c>
      <c r="C27" s="10" t="s">
        <v>61</v>
      </c>
      <c r="D27" s="24">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27" s="24">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27" s="24">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27" s="24">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27" s="24">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27" s="24">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27" s="24">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27" s="24">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27" s="24">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27" s="24">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27" s="24">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27" s="24">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27" s="24">
        <f>SUM(MonthlyExpensesSummary[[#This Row],[January]:[December]])</f>
        <v>0</v>
      </c>
      <c r="Q27" s="25"/>
    </row>
    <row r="28" spans="2:17" ht="48" customHeight="1" x14ac:dyDescent="0.35">
      <c r="B28" s="75">
        <v>12000</v>
      </c>
      <c r="C28" s="10" t="s">
        <v>173</v>
      </c>
      <c r="D28" s="22">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28" s="22">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28" s="22">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28" s="22">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28" s="22">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28" s="22">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28" s="22">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28" s="22">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28" s="22">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28" s="22">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28" s="22">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28" s="22">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28" s="22">
        <f>SUM(MonthlyExpensesSummary[[#This Row],[January]:[December]])</f>
        <v>0</v>
      </c>
      <c r="Q28" s="23"/>
    </row>
    <row r="29" spans="2:17" ht="48" customHeight="1" x14ac:dyDescent="0.35">
      <c r="B29" s="75">
        <v>12500</v>
      </c>
      <c r="C29" s="10" t="s">
        <v>69</v>
      </c>
      <c r="D29"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29"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29"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29"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29"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29"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29"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29"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29"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29"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29"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29"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29" s="71">
        <f>SUM(MonthlyExpensesSummary[[#This Row],[January]:[December]])</f>
        <v>0</v>
      </c>
      <c r="Q29" s="72"/>
    </row>
    <row r="30" spans="2:17" ht="48" customHeight="1" x14ac:dyDescent="0.35">
      <c r="B30" s="75">
        <v>12600</v>
      </c>
      <c r="C30" s="10" t="s">
        <v>170</v>
      </c>
      <c r="D30"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30"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30"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30"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30"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30"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30"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30"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30"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30"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30"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30"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30" s="71">
        <f>SUM(MonthlyExpensesSummary[[#This Row],[January]:[December]])</f>
        <v>0</v>
      </c>
      <c r="Q30" s="72"/>
    </row>
    <row r="31" spans="2:17" ht="48" customHeight="1" x14ac:dyDescent="0.35">
      <c r="B31" s="75">
        <v>12700</v>
      </c>
      <c r="C31" s="10" t="s">
        <v>71</v>
      </c>
      <c r="D31"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31"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31"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31"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31"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31"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31"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31"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31"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31"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31"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31"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31" s="71">
        <f>SUM(MonthlyExpensesSummary[[#This Row],[January]:[December]])</f>
        <v>0</v>
      </c>
      <c r="Q31" s="72"/>
    </row>
    <row r="32" spans="2:17" ht="48" customHeight="1" x14ac:dyDescent="0.35">
      <c r="B32" s="75">
        <v>12800</v>
      </c>
      <c r="C32" s="10" t="s">
        <v>70</v>
      </c>
      <c r="D32"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32"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32"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32"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32"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32"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32"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32"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32"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32"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32"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32"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32" s="71">
        <f>SUM(MonthlyExpensesSummary[[#This Row],[January]:[December]])</f>
        <v>0</v>
      </c>
      <c r="Q32" s="72"/>
    </row>
    <row r="33" spans="2:17" ht="48" customHeight="1" x14ac:dyDescent="0.35">
      <c r="B33" s="75">
        <v>13000</v>
      </c>
      <c r="C33" s="10" t="s">
        <v>48</v>
      </c>
      <c r="D33" s="24">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33" s="24">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33" s="24">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33" s="24">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33" s="24">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33" s="24">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33" s="24">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33" s="24">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-225</v>
      </c>
      <c r="L33" s="24">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33" s="24">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33" s="24">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33" s="24">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33" s="24">
        <f>SUM(MonthlyExpensesSummary[[#This Row],[January]:[December]])</f>
        <v>-225</v>
      </c>
      <c r="Q33" s="25"/>
    </row>
    <row r="34" spans="2:17" ht="48" customHeight="1" x14ac:dyDescent="0.35">
      <c r="B34" s="75">
        <v>14000</v>
      </c>
      <c r="C34" s="10" t="s">
        <v>49</v>
      </c>
      <c r="D34" s="22">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34" s="22">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34" s="22">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34" s="22">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34" s="22">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34" s="22">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34" s="22">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-302.39999999999998</v>
      </c>
      <c r="K34" s="22">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-3947.1500000000005</v>
      </c>
      <c r="L34" s="22">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-58.65</v>
      </c>
      <c r="M34" s="22">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34" s="22">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34" s="22">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34" s="22">
        <f>SUM(MonthlyExpensesSummary[[#This Row],[January]:[December]])</f>
        <v>-4308.2</v>
      </c>
      <c r="Q34" s="23"/>
    </row>
    <row r="35" spans="2:17" ht="48" customHeight="1" x14ac:dyDescent="0.35">
      <c r="B35" s="75">
        <v>14500</v>
      </c>
      <c r="C35" s="10" t="s">
        <v>68</v>
      </c>
      <c r="D35"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35"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35"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35"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35"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35"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35"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35"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35"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35"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35"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35"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35" s="71">
        <f>SUM(MonthlyExpensesSummary[[#This Row],[January]:[December]])</f>
        <v>0</v>
      </c>
      <c r="Q35" s="72"/>
    </row>
    <row r="36" spans="2:17" ht="48" customHeight="1" x14ac:dyDescent="0.35">
      <c r="B36" s="75">
        <v>15000</v>
      </c>
      <c r="C36" s="10" t="s">
        <v>47</v>
      </c>
      <c r="D36" s="24">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36" s="24">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36" s="24">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36" s="24">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36" s="24">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36" s="24">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36" s="24">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6</v>
      </c>
      <c r="K36" s="24">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30</v>
      </c>
      <c r="L36" s="24">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36" s="24">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36" s="24">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36" s="24">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36" s="24">
        <f>SUM(MonthlyExpensesSummary[[#This Row],[January]:[December]])</f>
        <v>36</v>
      </c>
      <c r="Q36" s="25"/>
    </row>
    <row r="37" spans="2:17" ht="48" customHeight="1" x14ac:dyDescent="0.35">
      <c r="B37" s="75">
        <v>15100</v>
      </c>
      <c r="C37" s="10" t="s">
        <v>65</v>
      </c>
      <c r="D37" s="22">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37" s="22">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37" s="22">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37" s="22">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37" s="22">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37" s="22">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37" s="22">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37" s="22">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37" s="22">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37" s="22">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37" s="22">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37" s="22">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37" s="22">
        <f>SUM(MonthlyExpensesSummary[[#This Row],[January]:[December]])</f>
        <v>0</v>
      </c>
      <c r="Q37" s="23"/>
    </row>
    <row r="38" spans="2:17" ht="48" customHeight="1" x14ac:dyDescent="0.35">
      <c r="B38" s="75">
        <v>15200</v>
      </c>
      <c r="C38" s="10" t="s">
        <v>172</v>
      </c>
      <c r="D38"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38"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38"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38"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38"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38"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38"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38"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38"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38"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38"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38"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38" s="71">
        <f>SUM(MonthlyExpensesSummary[[#This Row],[January]:[December]])</f>
        <v>0</v>
      </c>
      <c r="Q38" s="72"/>
    </row>
    <row r="39" spans="2:17" ht="48" customHeight="1" x14ac:dyDescent="0.35">
      <c r="B39" s="75">
        <v>15300</v>
      </c>
      <c r="C39" s="10" t="s">
        <v>84</v>
      </c>
      <c r="D39"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39"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39"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39"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39"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39"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39"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39"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39"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39"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39"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39"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39" s="71">
        <f>SUM(MonthlyExpensesSummary[[#This Row],[January]:[December]])</f>
        <v>0</v>
      </c>
      <c r="Q39" s="72"/>
    </row>
    <row r="40" spans="2:17" ht="48" customHeight="1" x14ac:dyDescent="0.35">
      <c r="B40" s="75">
        <v>15400</v>
      </c>
      <c r="C40" s="10" t="s">
        <v>90</v>
      </c>
      <c r="D40"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40"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40"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40"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40"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40"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40"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40"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40"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40"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40"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40"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40" s="71">
        <f>SUM(MonthlyExpensesSummary[[#This Row],[January]:[December]])</f>
        <v>0</v>
      </c>
      <c r="Q40" s="72"/>
    </row>
    <row r="41" spans="2:17" ht="48" customHeight="1" x14ac:dyDescent="0.35">
      <c r="B41" s="75">
        <v>16000</v>
      </c>
      <c r="C41" s="10" t="s">
        <v>46</v>
      </c>
      <c r="D41"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41"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41"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41"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41"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41"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41"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41"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-4</v>
      </c>
      <c r="L41"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41"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41"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41"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41" s="71">
        <f>SUM(MonthlyExpensesSummary[[#This Row],[January]:[December]])</f>
        <v>-4</v>
      </c>
      <c r="Q41" s="72"/>
    </row>
    <row r="42" spans="2:17" ht="48" customHeight="1" x14ac:dyDescent="0.35">
      <c r="B42" s="14">
        <v>17000</v>
      </c>
      <c r="C42" s="15" t="s">
        <v>177</v>
      </c>
      <c r="D42" s="70">
        <f>SUMIFS(ItemizedExpenses[Deposit/Credit],ItemizedExpenses[G/L Code],MonthlyExpensesSummary[[#This Row],[G/L Code]],ItemizedExpenses[Transaction Date],"&gt;="&amp;D$3,ItemizedExpenses[Transaction Date],"&lt;="&amp;D$4)+SUMIFS(Other[Check Amount],Other[G/L Code],MonthlyExpensesSummary[[#This Row],[G/L Code]],Other[Date Check Request Initiated],"&gt;="&amp;DATEVALUE(MonthlyExpensesSummary[[#Headers],[January]]&amp;" 1, "&amp;_YEAR),Other[Date Check Request Initiated],"&lt;="&amp;D$4)</f>
        <v>0</v>
      </c>
      <c r="E42" s="70">
        <f>SUMIFS(ItemizedExpenses[Deposit/Credit],ItemizedExpenses[G/L Code],MonthlyExpensesSummary[[#This Row],[G/L Code]],ItemizedExpenses[Transaction Date],"&gt;="&amp;E$3,ItemizedExpenses[Transaction Date],"&lt;="&amp;E$4)+SUMIFS(Other[Check Amount],Other[G/L Code],MonthlyExpensesSummary[[#This Row],[G/L Code]],Other[Date Check Request Initiated],"&gt;="&amp;DATEVALUE(MonthlyExpensesSummary[[#Headers],[February]]&amp;" 1, "&amp;_YEAR),Other[Date Check Request Initiated],"&lt;="&amp;E$4)</f>
        <v>0</v>
      </c>
      <c r="F42" s="70">
        <f>SUMIFS(ItemizedExpenses[Deposit/Credit],ItemizedExpenses[G/L Code],MonthlyExpensesSummary[[#This Row],[G/L Code]],ItemizedExpenses[Transaction Date],"&gt;="&amp;F$3,ItemizedExpenses[Transaction Date],"&lt;="&amp;F$4)+SUMIFS(Other[Check Amount],Other[G/L Code],MonthlyExpensesSummary[[#This Row],[G/L Code]],Other[Date Check Request Initiated],"&gt;="&amp;DATEVALUE(MonthlyExpensesSummary[[#Headers],[March]]&amp;" 1, "&amp;_YEAR),Other[Date Check Request Initiated],"&lt;="&amp;F$4)</f>
        <v>0</v>
      </c>
      <c r="G42" s="70">
        <f>SUMIFS(ItemizedExpenses[Deposit/Credit],ItemizedExpenses[G/L Code],MonthlyExpensesSummary[[#This Row],[G/L Code]],ItemizedExpenses[Transaction Date],"&gt;="&amp;G$3,ItemizedExpenses[Transaction Date],"&lt;="&amp;G$4)+SUMIFS(Other[Check Amount],Other[G/L Code],MonthlyExpensesSummary[[#This Row],[G/L Code]],Other[Date Check Request Initiated],"&gt;="&amp;DATEVALUE(MonthlyExpensesSummary[[#Headers],[April]]&amp;" 1, "&amp;_YEAR),Other[Date Check Request Initiated],"&lt;="&amp;G$4)</f>
        <v>0</v>
      </c>
      <c r="H42" s="70">
        <f>SUMIFS(ItemizedExpenses[Deposit/Credit],ItemizedExpenses[G/L Code],MonthlyExpensesSummary[[#This Row],[G/L Code]],ItemizedExpenses[Transaction Date],"&gt;="&amp;H$3,ItemizedExpenses[Transaction Date],"&lt;="&amp;H$4)+SUMIFS(Other[Check Amount],Other[G/L Code],MonthlyExpensesSummary[[#This Row],[G/L Code]],Other[Date Check Request Initiated],"&gt;="&amp;DATEVALUE(MonthlyExpensesSummary[[#Headers],[May]]&amp;" 1, "&amp;_YEAR),Other[Date Check Request Initiated],"&lt;="&amp;H$4)</f>
        <v>0</v>
      </c>
      <c r="I42" s="70">
        <f>SUMIFS(ItemizedExpenses[Deposit/Credit],ItemizedExpenses[G/L Code],MonthlyExpensesSummary[[#This Row],[G/L Code]],ItemizedExpenses[Transaction Date],"&gt;="&amp;I$3,ItemizedExpenses[Transaction Date],"&lt;="&amp;I$4)+SUMIFS(Other[Check Amount],Other[G/L Code],MonthlyExpensesSummary[[#This Row],[G/L Code]],Other[Date Check Request Initiated],"&gt;="&amp;DATEVALUE(MonthlyExpensesSummary[[#Headers],[June]]&amp;" 1, "&amp;_YEAR),Other[Date Check Request Initiated],"&lt;="&amp;I$4)</f>
        <v>0</v>
      </c>
      <c r="J42" s="70">
        <f>SUMIFS(ItemizedExpenses[Deposit/Credit],ItemizedExpenses[G/L Code],MonthlyExpensesSummary[[#This Row],[G/L Code]],ItemizedExpenses[Transaction Date],"&gt;="&amp;J$3,ItemizedExpenses[Transaction Date],"&lt;="&amp;J$4)+SUMIFS(Other[Check Amount],Other[G/L Code],MonthlyExpensesSummary[[#This Row],[G/L Code]],Other[Date Check Request Initiated],"&gt;="&amp;DATEVALUE(MonthlyExpensesSummary[[#Headers],[July]]&amp;" 1, "&amp;_YEAR),Other[Date Check Request Initiated],"&lt;="&amp;J$4)</f>
        <v>0</v>
      </c>
      <c r="K42" s="70">
        <f>SUMIFS(ItemizedExpenses[Deposit/Credit],ItemizedExpenses[G/L Code],MonthlyExpensesSummary[[#This Row],[G/L Code]],ItemizedExpenses[Transaction Date],"&gt;="&amp;K$3,ItemizedExpenses[Transaction Date],"&lt;="&amp;K$4)+SUMIFS(Other[Check Amount],Other[G/L Code],MonthlyExpensesSummary[[#This Row],[G/L Code]],Other[Date Check Request Initiated],"&gt;="&amp;DATEVALUE(MonthlyExpensesSummary[[#Headers],[August]]&amp;" 1, "&amp;_YEAR),Other[Date Check Request Initiated],"&lt;="&amp;K$4)</f>
        <v>0</v>
      </c>
      <c r="L42" s="70">
        <f>SUMIFS(ItemizedExpenses[Deposit/Credit],ItemizedExpenses[G/L Code],MonthlyExpensesSummary[[#This Row],[G/L Code]],ItemizedExpenses[Transaction Date],"&gt;="&amp;L$3,ItemizedExpenses[Transaction Date],"&lt;="&amp;L$4)+SUMIFS(Other[Check Amount],Other[G/L Code],MonthlyExpensesSummary[[#This Row],[G/L Code]],Other[Date Check Request Initiated],"&gt;="&amp;DATEVALUE(MonthlyExpensesSummary[[#Headers],[September]]&amp;" 1, "&amp;_YEAR),Other[Date Check Request Initiated],"&lt;="&amp;L$4)</f>
        <v>0</v>
      </c>
      <c r="M42" s="70">
        <f>SUMIFS(ItemizedExpenses[Deposit/Credit],ItemizedExpenses[G/L Code],MonthlyExpensesSummary[[#This Row],[G/L Code]],ItemizedExpenses[Transaction Date],"&gt;="&amp;M$3,ItemizedExpenses[Transaction Date],"&lt;="&amp;M$4)+SUMIFS(Other[Check Amount],Other[G/L Code],MonthlyExpensesSummary[[#This Row],[G/L Code]],Other[Date Check Request Initiated],"&gt;="&amp;DATEVALUE(MonthlyExpensesSummary[[#Headers],[October]]&amp;" 1, "&amp;_YEAR),Other[Date Check Request Initiated],"&lt;="&amp;M$4)</f>
        <v>0</v>
      </c>
      <c r="N42" s="70">
        <f>SUMIFS(ItemizedExpenses[Deposit/Credit],ItemizedExpenses[G/L Code],MonthlyExpensesSummary[[#This Row],[G/L Code]],ItemizedExpenses[Transaction Date],"&gt;="&amp;N$3,ItemizedExpenses[Transaction Date],"&lt;="&amp;N$4)+SUMIFS(Other[Check Amount],Other[G/L Code],MonthlyExpensesSummary[[#This Row],[G/L Code]],Other[Date Check Request Initiated],"&gt;="&amp;DATEVALUE(MonthlyExpensesSummary[[#Headers],[November]]&amp;" 1, "&amp;_YEAR),Other[Date Check Request Initiated],"&lt;="&amp;N$4)</f>
        <v>0</v>
      </c>
      <c r="O42" s="70">
        <f>SUMIFS(ItemizedExpenses[Deposit/Credit],ItemizedExpenses[G/L Code],MonthlyExpensesSummary[[#This Row],[G/L Code]],ItemizedExpenses[Transaction Date],"&gt;="&amp;O$3,ItemizedExpenses[Transaction Date],"&lt;="&amp;O$4)+SUMIFS(Other[Check Amount],Other[G/L Code],MonthlyExpensesSummary[[#This Row],[G/L Code]],Other[Date Check Request Initiated],"&gt;="&amp;DATEVALUE(MonthlyExpensesSummary[[#Headers],[December]]&amp;" 1, "&amp;_YEAR),Other[Date Check Request Initiated],"&lt;="&amp;O$4)</f>
        <v>0</v>
      </c>
      <c r="P42" s="71">
        <f>SUM(MonthlyExpensesSummary[[#This Row],[January]:[December]])</f>
        <v>0</v>
      </c>
      <c r="Q42" s="72"/>
    </row>
    <row r="43" spans="2:17" ht="48" customHeight="1" x14ac:dyDescent="0.35">
      <c r="B43" s="26" t="s">
        <v>6</v>
      </c>
      <c r="C43" s="27"/>
      <c r="D43" s="28">
        <f>SUBTOTAL(109,MonthlyExpensesSummary[January])</f>
        <v>0</v>
      </c>
      <c r="E43" s="28">
        <f>SUBTOTAL(109,MonthlyExpensesSummary[February])</f>
        <v>0</v>
      </c>
      <c r="F43" s="28">
        <f>SUBTOTAL(109,MonthlyExpensesSummary[March])</f>
        <v>0</v>
      </c>
      <c r="G43" s="28">
        <f>SUBTOTAL(109,MonthlyExpensesSummary[April])</f>
        <v>0</v>
      </c>
      <c r="H43" s="28">
        <f>SUBTOTAL(109,MonthlyExpensesSummary[May])</f>
        <v>0</v>
      </c>
      <c r="I43" s="28">
        <f>SUBTOTAL(109,MonthlyExpensesSummary[June])</f>
        <v>0</v>
      </c>
      <c r="J43" s="28">
        <f>SUBTOTAL(109,MonthlyExpensesSummary[July])</f>
        <v>-296.39999999999998</v>
      </c>
      <c r="K43" s="28">
        <f>SUBTOTAL(109,MonthlyExpensesSummary[August])</f>
        <v>-4146.1500000000005</v>
      </c>
      <c r="L43" s="28">
        <f>SUBTOTAL(109,MonthlyExpensesSummary[September])</f>
        <v>-58.65</v>
      </c>
      <c r="M43" s="28">
        <f>SUBTOTAL(109,MonthlyExpensesSummary[October])</f>
        <v>0</v>
      </c>
      <c r="N43" s="28">
        <f>SUBTOTAL(109,MonthlyExpensesSummary[November])</f>
        <v>0</v>
      </c>
      <c r="O43" s="28">
        <f>SUBTOTAL(109,MonthlyExpensesSummary[December])</f>
        <v>0</v>
      </c>
      <c r="P43" s="28">
        <f>SUBTOTAL(109,MonthlyExpensesSummary[Total])</f>
        <v>-4501.2</v>
      </c>
      <c r="Q43" s="27"/>
    </row>
  </sheetData>
  <mergeCells count="1">
    <mergeCell ref="B2:Q2"/>
  </mergeCells>
  <conditionalFormatting sqref="B3 D3:O4">
    <cfRule type="notContainsBlanks" dxfId="0" priority="1">
      <formula>LEN(TRIM(B3))&gt;0</formula>
    </cfRule>
  </conditionalFormatting>
  <dataValidations count="9">
    <dataValidation allowBlank="1" showInputMessage="1" showErrorMessage="1" prompt="Create Monthly Expenses Summary in this worksheet. Enter details in Monthly Expenses table. Navigation links in cells B1 and C1 go to Previous and Next worksheet" sqref="A1" xr:uid="{00000000-0002-0000-0100-000000000000}"/>
    <dataValidation allowBlank="1" showInputMessage="1" showErrorMessage="1" prompt="Enter General Ledger code in this column under this heading" sqref="B5" xr:uid="{00000000-0002-0000-0100-000001000000}"/>
    <dataValidation allowBlank="1" showInputMessage="1" showErrorMessage="1" prompt="Enter Account Title in this column under this heading" sqref="C5" xr:uid="{00000000-0002-0000-0100-000002000000}"/>
    <dataValidation allowBlank="1" showInputMessage="1" showErrorMessage="1" prompt="Actual amount for this month is automatically calculated in this column under this heading" sqref="D5:O5" xr:uid="{00000000-0002-0000-0100-000003000000}"/>
    <dataValidation allowBlank="1" showInputMessage="1" showErrorMessage="1" prompt="Total is automatically calculated in this column under this heading" sqref="P5" xr:uid="{00000000-0002-0000-0100-000004000000}"/>
    <dataValidation allowBlank="1" showInputMessage="1" showErrorMessage="1" prompt="A sparkline visualizing the trend of expenses for 1 expense over 12 months is displayed in this column " sqref="Q5" xr:uid="{00000000-0002-0000-0100-000005000000}"/>
    <dataValidation allowBlank="1" showInputMessage="1" showErrorMessage="1" prompt="Navigation link is in this cell. Select to go to YTD BUDGET SUMMARY worksheet" sqref="B1" xr:uid="{00000000-0002-0000-0100-000006000000}"/>
    <dataValidation allowBlank="1" showInputMessage="1" showErrorMessage="1" prompt="Navigation link is in this cell. Select to go to ITEMIZED EXPENSES worksheet" sqref="C1" xr:uid="{00000000-0002-0000-0100-000007000000}"/>
    <dataValidation allowBlank="1" showInputMessage="1" showErrorMessage="1" prompt="Title of this worksheet is in this cell. Slicer to filter table by Account Title is in cell B3. Do not delete formulas in cells D3 through O4" sqref="B2:Q2" xr:uid="{00000000-0002-0000-0100-000008000000}"/>
  </dataValidations>
  <printOptions horizontalCentered="1"/>
  <pageMargins left="0.4" right="0.4" top="0.4" bottom="0.6" header="0.3" footer="0.3"/>
  <pageSetup scale="49" fitToWidth="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'MONTHLY EXPENSES SUMMARY'!D6:O6</xm:f>
              <xm:sqref>Q6</xm:sqref>
            </x14:sparkline>
            <x14:sparkline>
              <xm:f>'MONTHLY EXPENSES SUMMARY'!D7:O7</xm:f>
              <xm:sqref>Q7</xm:sqref>
            </x14:sparkline>
            <x14:sparkline>
              <xm:f>'MONTHLY EXPENSES SUMMARY'!D8:O8</xm:f>
              <xm:sqref>Q8</xm:sqref>
            </x14:sparkline>
            <x14:sparkline>
              <xm:f>'MONTHLY EXPENSES SUMMARY'!D9:O9</xm:f>
              <xm:sqref>Q9</xm:sqref>
            </x14:sparkline>
            <x14:sparkline>
              <xm:f>'MONTHLY EXPENSES SUMMARY'!D10:O10</xm:f>
              <xm:sqref>Q10</xm:sqref>
            </x14:sparkline>
            <x14:sparkline>
              <xm:f>'MONTHLY EXPENSES SUMMARY'!D11:O11</xm:f>
              <xm:sqref>Q11</xm:sqref>
            </x14:sparkline>
            <x14:sparkline>
              <xm:f>'MONTHLY EXPENSES SUMMARY'!D12:O12</xm:f>
              <xm:sqref>Q12</xm:sqref>
            </x14:sparkline>
            <x14:sparkline>
              <xm:f>'MONTHLY EXPENSES SUMMARY'!D13:O13</xm:f>
              <xm:sqref>Q13</xm:sqref>
            </x14:sparkline>
            <x14:sparkline>
              <xm:f>'MONTHLY EXPENSES SUMMARY'!D14:O14</xm:f>
              <xm:sqref>Q14</xm:sqref>
            </x14:sparkline>
            <x14:sparkline>
              <xm:f>'MONTHLY EXPENSES SUMMARY'!D15:O15</xm:f>
              <xm:sqref>Q15</xm:sqref>
            </x14:sparkline>
            <x14:sparkline>
              <xm:f>'MONTHLY EXPENSES SUMMARY'!D16:O16</xm:f>
              <xm:sqref>Q16</xm:sqref>
            </x14:sparkline>
            <x14:sparkline>
              <xm:f>'MONTHLY EXPENSES SUMMARY'!D17:O17</xm:f>
              <xm:sqref>Q17</xm:sqref>
            </x14:sparkline>
            <x14:sparkline>
              <xm:f>'MONTHLY EXPENSES SUMMARY'!D18:O18</xm:f>
              <xm:sqref>Q18</xm:sqref>
            </x14:sparkline>
            <x14:sparkline>
              <xm:f>'MONTHLY EXPENSES SUMMARY'!D19:O19</xm:f>
              <xm:sqref>Q19</xm:sqref>
            </x14:sparkline>
            <x14:sparkline>
              <xm:f>'MONTHLY EXPENSES SUMMARY'!D20:O20</xm:f>
              <xm:sqref>Q20</xm:sqref>
            </x14:sparkline>
            <x14:sparkline>
              <xm:f>'MONTHLY EXPENSES SUMMARY'!D21:O21</xm:f>
              <xm:sqref>Q21</xm:sqref>
            </x14:sparkline>
            <x14:sparkline>
              <xm:f>'MONTHLY EXPENSES SUMMARY'!D22:O22</xm:f>
              <xm:sqref>Q22</xm:sqref>
            </x14:sparkline>
            <x14:sparkline>
              <xm:f>'MONTHLY EXPENSES SUMMARY'!D23:O23</xm:f>
              <xm:sqref>Q23</xm:sqref>
            </x14:sparkline>
            <x14:sparkline>
              <xm:f>'MONTHLY EXPENSES SUMMARY'!D24:O24</xm:f>
              <xm:sqref>Q24</xm:sqref>
            </x14:sparkline>
            <x14:sparkline>
              <xm:f>'MONTHLY EXPENSES SUMMARY'!D25:O25</xm:f>
              <xm:sqref>Q25</xm:sqref>
            </x14:sparkline>
            <x14:sparkline>
              <xm:f>'MONTHLY EXPENSES SUMMARY'!D26:O26</xm:f>
              <xm:sqref>Q26</xm:sqref>
            </x14:sparkline>
            <x14:sparkline>
              <xm:f>'MONTHLY EXPENSES SUMMARY'!D27:O27</xm:f>
              <xm:sqref>Q27</xm:sqref>
            </x14:sparkline>
            <x14:sparkline>
              <xm:f>'MONTHLY EXPENSES SUMMARY'!D28:O28</xm:f>
              <xm:sqref>Q28</xm:sqref>
            </x14:sparkline>
            <x14:sparkline>
              <xm:f>'MONTHLY EXPENSES SUMMARY'!D29:O29</xm:f>
              <xm:sqref>Q29</xm:sqref>
            </x14:sparkline>
            <x14:sparkline>
              <xm:f>'MONTHLY EXPENSES SUMMARY'!D30:O30</xm:f>
              <xm:sqref>Q30</xm:sqref>
            </x14:sparkline>
            <x14:sparkline>
              <xm:f>'MONTHLY EXPENSES SUMMARY'!D31:O31</xm:f>
              <xm:sqref>Q31</xm:sqref>
            </x14:sparkline>
            <x14:sparkline>
              <xm:f>'MONTHLY EXPENSES SUMMARY'!D32:O32</xm:f>
              <xm:sqref>Q32</xm:sqref>
            </x14:sparkline>
            <x14:sparkline>
              <xm:f>'MONTHLY EXPENSES SUMMARY'!D33:O33</xm:f>
              <xm:sqref>Q33</xm:sqref>
            </x14:sparkline>
            <x14:sparkline>
              <xm:f>'MONTHLY EXPENSES SUMMARY'!D34:O34</xm:f>
              <xm:sqref>Q34</xm:sqref>
            </x14:sparkline>
            <x14:sparkline>
              <xm:f>'MONTHLY EXPENSES SUMMARY'!D35:O35</xm:f>
              <xm:sqref>Q35</xm:sqref>
            </x14:sparkline>
            <x14:sparkline>
              <xm:f>'MONTHLY EXPENSES SUMMARY'!D36:O36</xm:f>
              <xm:sqref>Q36</xm:sqref>
            </x14:sparkline>
            <x14:sparkline>
              <xm:f>'MONTHLY EXPENSES SUMMARY'!D37:O37</xm:f>
              <xm:sqref>Q37</xm:sqref>
            </x14:sparkline>
            <x14:sparkline>
              <xm:f>'MONTHLY EXPENSES SUMMARY'!D38:O38</xm:f>
              <xm:sqref>Q38</xm:sqref>
            </x14:sparkline>
            <x14:sparkline>
              <xm:f>'MONTHLY EXPENSES SUMMARY'!D39:O39</xm:f>
              <xm:sqref>Q39</xm:sqref>
            </x14:sparkline>
            <x14:sparkline>
              <xm:f>'MONTHLY EXPENSES SUMMARY'!D40:O40</xm:f>
              <xm:sqref>Q40</xm:sqref>
            </x14:sparkline>
            <x14:sparkline>
              <xm:f>'MONTHLY EXPENSES SUMMARY'!D41:O41</xm:f>
              <xm:sqref>Q41</xm:sqref>
            </x14:sparkline>
            <x14:sparkline>
              <xm:f>'MONTHLY EXPENSES SUMMARY'!D42:O42</xm:f>
              <xm:sqref>Q42</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F2F2F"/>
    <pageSetUpPr fitToPage="1"/>
  </sheetPr>
  <dimension ref="B1:J221"/>
  <sheetViews>
    <sheetView showGridLines="0" topLeftCell="A4" zoomScale="90" zoomScaleNormal="90" workbookViewId="0">
      <pane xSplit="1" ySplit="1" topLeftCell="B21" activePane="bottomRight" state="frozen"/>
      <selection activeCell="A4" sqref="A4"/>
      <selection pane="topRight" activeCell="B4" sqref="B4"/>
      <selection pane="bottomLeft" activeCell="A5" sqref="A5"/>
      <selection pane="bottomRight" activeCell="B26" sqref="B26"/>
    </sheetView>
  </sheetViews>
  <sheetFormatPr defaultColWidth="8.875" defaultRowHeight="30" customHeight="1" x14ac:dyDescent="0.35"/>
  <cols>
    <col min="1" max="1" width="2.625" customWidth="1"/>
    <col min="2" max="2" width="12.375" customWidth="1"/>
    <col min="3" max="3" width="13.125" customWidth="1"/>
    <col min="4" max="4" width="9.625" customWidth="1"/>
    <col min="5" max="5" width="30" customWidth="1"/>
    <col min="6" max="6" width="17.375" customWidth="1"/>
    <col min="7" max="7" width="30" customWidth="1"/>
    <col min="8" max="8" width="22.5" customWidth="1"/>
    <col min="9" max="9" width="14.625" customWidth="1"/>
    <col min="10" max="10" width="15.5" customWidth="1"/>
  </cols>
  <sheetData>
    <row r="1" spans="2:10" ht="42.6" customHeight="1" x14ac:dyDescent="0.35">
      <c r="B1" s="67"/>
      <c r="C1" s="67"/>
    </row>
    <row r="2" spans="2:10" ht="72" customHeight="1" x14ac:dyDescent="0.35">
      <c r="B2" s="130" t="s">
        <v>41</v>
      </c>
      <c r="C2" s="130"/>
      <c r="D2" s="130"/>
      <c r="E2" s="130"/>
      <c r="F2" s="130"/>
      <c r="G2" s="130"/>
      <c r="H2" s="130"/>
      <c r="I2" s="130"/>
      <c r="J2" s="130"/>
    </row>
    <row r="3" spans="2:10" ht="83.45" customHeight="1" x14ac:dyDescent="0.35">
      <c r="B3" s="129"/>
      <c r="C3" s="129"/>
      <c r="D3" s="129"/>
      <c r="E3" s="129"/>
      <c r="F3" s="129"/>
      <c r="G3" s="129"/>
      <c r="H3" s="129"/>
      <c r="I3" s="129"/>
      <c r="J3" s="129"/>
    </row>
    <row r="4" spans="2:10" ht="43.35" customHeight="1" x14ac:dyDescent="0.35">
      <c r="B4" s="63" t="s">
        <v>0</v>
      </c>
      <c r="C4" s="64" t="s">
        <v>63</v>
      </c>
      <c r="D4" s="64" t="s">
        <v>75</v>
      </c>
      <c r="E4" s="64" t="s">
        <v>93</v>
      </c>
      <c r="F4" s="64" t="s">
        <v>50</v>
      </c>
      <c r="G4" s="64" t="s">
        <v>9</v>
      </c>
      <c r="H4" s="64" t="s">
        <v>64</v>
      </c>
      <c r="I4" s="64" t="s">
        <v>66</v>
      </c>
      <c r="J4" s="65" t="s">
        <v>67</v>
      </c>
    </row>
    <row r="5" spans="2:10" ht="38.1" customHeight="1" x14ac:dyDescent="0.35">
      <c r="B5" s="59"/>
      <c r="C5" s="60"/>
      <c r="D5" s="61"/>
      <c r="E5" s="62"/>
      <c r="F5" s="83"/>
      <c r="G5" s="96"/>
      <c r="H5" s="62"/>
      <c r="I5" s="62"/>
      <c r="J5" s="86">
        <v>29863.72</v>
      </c>
    </row>
    <row r="6" spans="2:10" ht="38.1" customHeight="1" x14ac:dyDescent="0.35">
      <c r="B6" s="121">
        <v>14000</v>
      </c>
      <c r="C6" s="122">
        <v>45120</v>
      </c>
      <c r="D6" s="31">
        <v>1663</v>
      </c>
      <c r="E6" s="99" t="s">
        <v>74</v>
      </c>
      <c r="F6" s="123">
        <v>-302.39999999999998</v>
      </c>
      <c r="G6" s="32"/>
      <c r="H6" s="32" t="s">
        <v>178</v>
      </c>
      <c r="I6" s="32" t="s">
        <v>179</v>
      </c>
      <c r="J6" s="124">
        <f>J5+ItemizedExpenses[[#This Row],[Deposit/Credit]]</f>
        <v>29561.32</v>
      </c>
    </row>
    <row r="7" spans="2:10" ht="38.1" customHeight="1" x14ac:dyDescent="0.35">
      <c r="B7" s="121">
        <v>15000</v>
      </c>
      <c r="C7" s="122">
        <v>45121</v>
      </c>
      <c r="D7" s="31" t="s">
        <v>180</v>
      </c>
      <c r="E7" s="99" t="s">
        <v>195</v>
      </c>
      <c r="F7" s="123">
        <v>6</v>
      </c>
      <c r="G7" s="32"/>
      <c r="H7" s="32" t="s">
        <v>47</v>
      </c>
      <c r="I7" s="32" t="s">
        <v>179</v>
      </c>
      <c r="J7" s="124">
        <f>J6+ItemizedExpenses[[#This Row],[Deposit/Credit]]</f>
        <v>29567.32</v>
      </c>
    </row>
    <row r="8" spans="2:10" ht="38.1" customHeight="1" x14ac:dyDescent="0.35">
      <c r="B8" s="121">
        <v>15300</v>
      </c>
      <c r="C8" s="122">
        <v>45131</v>
      </c>
      <c r="D8" s="31" t="s">
        <v>180</v>
      </c>
      <c r="E8" s="99" t="s">
        <v>181</v>
      </c>
      <c r="F8" s="123">
        <v>167.7</v>
      </c>
      <c r="G8" s="32"/>
      <c r="H8" s="32" t="s">
        <v>182</v>
      </c>
      <c r="I8" s="32" t="s">
        <v>179</v>
      </c>
      <c r="J8" s="124">
        <f>J7+ItemizedExpenses[[#This Row],[Deposit/Credit]]</f>
        <v>29735.02</v>
      </c>
    </row>
    <row r="9" spans="2:10" ht="38.1" customHeight="1" x14ac:dyDescent="0.35">
      <c r="B9" s="121">
        <v>15300</v>
      </c>
      <c r="C9" s="122">
        <v>45133</v>
      </c>
      <c r="D9" s="31" t="s">
        <v>180</v>
      </c>
      <c r="E9" s="99" t="s">
        <v>181</v>
      </c>
      <c r="F9" s="123">
        <v>-167.7</v>
      </c>
      <c r="G9" s="32"/>
      <c r="H9" s="32"/>
      <c r="I9" s="32" t="s">
        <v>179</v>
      </c>
      <c r="J9" s="124">
        <f>J8+ItemizedExpenses[[#This Row],[Deposit/Credit]]</f>
        <v>29567.32</v>
      </c>
    </row>
    <row r="10" spans="2:10" ht="38.1" customHeight="1" x14ac:dyDescent="0.35">
      <c r="B10" s="79">
        <v>14000</v>
      </c>
      <c r="C10" s="80">
        <v>45152</v>
      </c>
      <c r="D10" s="31">
        <v>1664</v>
      </c>
      <c r="E10" s="32" t="s">
        <v>183</v>
      </c>
      <c r="F10" s="83">
        <v>-425.93</v>
      </c>
      <c r="G10" s="90"/>
      <c r="H10" s="32" t="s">
        <v>184</v>
      </c>
      <c r="I10" s="32" t="s">
        <v>179</v>
      </c>
      <c r="J10" s="124">
        <f>J9+ItemizedExpenses[[#This Row],[Deposit/Credit]]</f>
        <v>29141.39</v>
      </c>
    </row>
    <row r="11" spans="2:10" ht="38.1" customHeight="1" x14ac:dyDescent="0.35">
      <c r="B11" s="79">
        <v>14000</v>
      </c>
      <c r="C11" s="80">
        <v>45159</v>
      </c>
      <c r="D11" s="31">
        <v>1665</v>
      </c>
      <c r="E11" s="32" t="s">
        <v>126</v>
      </c>
      <c r="F11" s="83">
        <v>-132.30000000000001</v>
      </c>
      <c r="G11" s="90"/>
      <c r="H11" s="32" t="s">
        <v>186</v>
      </c>
      <c r="I11" s="32"/>
      <c r="J11" s="124">
        <f>J10+ItemizedExpenses[[#This Row],[Deposit/Credit]]</f>
        <v>29009.09</v>
      </c>
    </row>
    <row r="12" spans="2:10" ht="38.1" customHeight="1" x14ac:dyDescent="0.35">
      <c r="B12" s="79">
        <v>14000</v>
      </c>
      <c r="C12" s="80">
        <v>45159</v>
      </c>
      <c r="D12" s="31">
        <v>1666</v>
      </c>
      <c r="E12" s="32" t="s">
        <v>73</v>
      </c>
      <c r="F12" s="83">
        <v>-2718.76</v>
      </c>
      <c r="G12" s="90"/>
      <c r="H12" s="32" t="s">
        <v>185</v>
      </c>
      <c r="I12" s="32" t="s">
        <v>179</v>
      </c>
      <c r="J12" s="124">
        <f>J11+ItemizedExpenses[[#This Row],[Deposit/Credit]]</f>
        <v>26290.33</v>
      </c>
    </row>
    <row r="13" spans="2:10" ht="38.1" customHeight="1" x14ac:dyDescent="0.35">
      <c r="B13" s="79">
        <v>14000</v>
      </c>
      <c r="C13" s="80">
        <v>45159</v>
      </c>
      <c r="D13" s="31">
        <v>1667</v>
      </c>
      <c r="E13" s="32" t="s">
        <v>109</v>
      </c>
      <c r="F13" s="83">
        <v>-230.4</v>
      </c>
      <c r="G13" s="32"/>
      <c r="H13" s="32" t="s">
        <v>187</v>
      </c>
      <c r="I13" s="32" t="s">
        <v>179</v>
      </c>
      <c r="J13" s="124">
        <f>J12+ItemizedExpenses[[#This Row],[Deposit/Credit]]</f>
        <v>26059.93</v>
      </c>
    </row>
    <row r="14" spans="2:10" ht="38.1" customHeight="1" x14ac:dyDescent="0.35">
      <c r="B14" s="79">
        <v>14000</v>
      </c>
      <c r="C14" s="80">
        <v>45159</v>
      </c>
      <c r="D14" s="31">
        <v>1668</v>
      </c>
      <c r="E14" s="32" t="s">
        <v>188</v>
      </c>
      <c r="F14" s="83">
        <v>-64.040000000000006</v>
      </c>
      <c r="G14" s="32"/>
      <c r="H14" s="32" t="s">
        <v>189</v>
      </c>
      <c r="I14" s="32" t="s">
        <v>179</v>
      </c>
      <c r="J14" s="124">
        <f>J13+ItemizedExpenses[[#This Row],[Deposit/Credit]]</f>
        <v>25995.89</v>
      </c>
    </row>
    <row r="15" spans="2:10" ht="38.1" customHeight="1" x14ac:dyDescent="0.35">
      <c r="B15" s="79">
        <v>14000</v>
      </c>
      <c r="C15" s="80">
        <v>45159</v>
      </c>
      <c r="D15" s="31">
        <v>1669</v>
      </c>
      <c r="E15" s="32" t="s">
        <v>190</v>
      </c>
      <c r="F15" s="83">
        <v>-37.130000000000003</v>
      </c>
      <c r="G15" s="82"/>
      <c r="H15" s="32" t="s">
        <v>192</v>
      </c>
      <c r="I15" s="32" t="s">
        <v>179</v>
      </c>
      <c r="J15" s="124">
        <f>J14+ItemizedExpenses[[#This Row],[Deposit/Credit]]</f>
        <v>25958.76</v>
      </c>
    </row>
    <row r="16" spans="2:10" ht="38.1" customHeight="1" x14ac:dyDescent="0.35">
      <c r="B16" s="79">
        <v>14000</v>
      </c>
      <c r="C16" s="80">
        <v>45159</v>
      </c>
      <c r="D16" s="31">
        <v>1670</v>
      </c>
      <c r="E16" s="32" t="s">
        <v>133</v>
      </c>
      <c r="F16" s="83">
        <v>-142.13</v>
      </c>
      <c r="G16" s="82"/>
      <c r="H16" s="32" t="s">
        <v>191</v>
      </c>
      <c r="I16" s="32" t="s">
        <v>179</v>
      </c>
      <c r="J16" s="124">
        <f>J15+ItemizedExpenses[[#This Row],[Deposit/Credit]]</f>
        <v>25816.629999999997</v>
      </c>
    </row>
    <row r="17" spans="2:10" ht="38.1" customHeight="1" x14ac:dyDescent="0.35">
      <c r="B17" s="79">
        <v>14000</v>
      </c>
      <c r="C17" s="80">
        <v>45162</v>
      </c>
      <c r="D17" s="31">
        <v>1671</v>
      </c>
      <c r="E17" s="32" t="s">
        <v>133</v>
      </c>
      <c r="F17" s="83">
        <v>-82.42</v>
      </c>
      <c r="G17" s="32"/>
      <c r="H17" s="32" t="s">
        <v>193</v>
      </c>
      <c r="I17" s="32"/>
      <c r="J17" s="124">
        <f>J16+ItemizedExpenses[[#This Row],[Deposit/Credit]]</f>
        <v>25734.21</v>
      </c>
    </row>
    <row r="18" spans="2:10" ht="38.1" customHeight="1" x14ac:dyDescent="0.35">
      <c r="B18" s="79">
        <v>16000</v>
      </c>
      <c r="C18" s="80">
        <v>45159</v>
      </c>
      <c r="D18" s="31"/>
      <c r="E18" s="32" t="s">
        <v>194</v>
      </c>
      <c r="F18" s="83">
        <v>-12</v>
      </c>
      <c r="G18" s="82"/>
      <c r="H18" s="82"/>
      <c r="I18" s="32" t="s">
        <v>179</v>
      </c>
      <c r="J18" s="124">
        <f>J17+ItemizedExpenses[[#This Row],[Deposit/Credit]]</f>
        <v>25722.21</v>
      </c>
    </row>
    <row r="19" spans="2:10" ht="38.1" customHeight="1" x14ac:dyDescent="0.35">
      <c r="B19" s="79">
        <v>15000</v>
      </c>
      <c r="C19" s="80">
        <v>45163</v>
      </c>
      <c r="D19" s="31"/>
      <c r="E19" s="32" t="s">
        <v>195</v>
      </c>
      <c r="F19" s="83">
        <v>24</v>
      </c>
      <c r="G19" s="82"/>
      <c r="H19" s="32" t="s">
        <v>47</v>
      </c>
      <c r="I19" s="32" t="s">
        <v>179</v>
      </c>
      <c r="J19" s="124">
        <f>J18+ItemizedExpenses[[#This Row],[Deposit/Credit]]</f>
        <v>25746.21</v>
      </c>
    </row>
    <row r="20" spans="2:10" ht="38.1" customHeight="1" x14ac:dyDescent="0.35">
      <c r="B20" s="89">
        <v>15000</v>
      </c>
      <c r="C20" s="80">
        <v>45166</v>
      </c>
      <c r="D20" s="31"/>
      <c r="E20" s="91" t="s">
        <v>196</v>
      </c>
      <c r="F20" s="84">
        <v>6</v>
      </c>
      <c r="G20" s="94"/>
      <c r="H20" s="91" t="s">
        <v>47</v>
      </c>
      <c r="I20" s="32"/>
      <c r="J20" s="124">
        <f>J19+ItemizedExpenses[[#This Row],[Deposit/Credit]]</f>
        <v>25752.21</v>
      </c>
    </row>
    <row r="21" spans="2:10" ht="38.1" customHeight="1" x14ac:dyDescent="0.35">
      <c r="B21" s="89">
        <v>16000</v>
      </c>
      <c r="C21" s="80">
        <v>45166</v>
      </c>
      <c r="D21" s="31"/>
      <c r="E21" s="91" t="s">
        <v>197</v>
      </c>
      <c r="F21" s="84">
        <v>8</v>
      </c>
      <c r="G21" s="94"/>
      <c r="H21" s="91" t="s">
        <v>198</v>
      </c>
      <c r="I21" s="32"/>
      <c r="J21" s="124">
        <f>J20+ItemizedExpenses[[#This Row],[Deposit/Credit]]</f>
        <v>25760.21</v>
      </c>
    </row>
    <row r="22" spans="2:10" ht="38.1" customHeight="1" x14ac:dyDescent="0.35">
      <c r="B22" s="125">
        <v>14000</v>
      </c>
      <c r="C22" s="80">
        <v>45166</v>
      </c>
      <c r="D22" s="31"/>
      <c r="E22" s="32" t="s">
        <v>133</v>
      </c>
      <c r="F22" s="83">
        <v>-104.04</v>
      </c>
      <c r="G22" s="90"/>
      <c r="H22" s="32" t="s">
        <v>199</v>
      </c>
      <c r="I22" s="32"/>
      <c r="J22" s="124">
        <f>J21+ItemizedExpenses[[#This Row],[Deposit/Credit]]</f>
        <v>25656.17</v>
      </c>
    </row>
    <row r="23" spans="2:10" ht="38.1" customHeight="1" x14ac:dyDescent="0.35">
      <c r="B23" s="79">
        <v>14000</v>
      </c>
      <c r="C23" s="80">
        <v>45168</v>
      </c>
      <c r="D23" s="31"/>
      <c r="E23" s="32" t="s">
        <v>200</v>
      </c>
      <c r="F23" s="83">
        <v>-10</v>
      </c>
      <c r="G23" s="90"/>
      <c r="H23" s="32" t="s">
        <v>201</v>
      </c>
      <c r="I23" s="32"/>
      <c r="J23" s="124">
        <f>J22+ItemizedExpenses[[#This Row],[Deposit/Credit]]</f>
        <v>25646.17</v>
      </c>
    </row>
    <row r="24" spans="2:10" ht="38.1" customHeight="1" x14ac:dyDescent="0.35">
      <c r="B24" s="79">
        <v>13000</v>
      </c>
      <c r="C24" s="80">
        <v>45168</v>
      </c>
      <c r="D24" s="81"/>
      <c r="E24" s="32" t="s">
        <v>202</v>
      </c>
      <c r="F24" s="83">
        <v>-225</v>
      </c>
      <c r="G24" s="90"/>
      <c r="H24" s="32" t="s">
        <v>203</v>
      </c>
      <c r="I24" s="32"/>
      <c r="J24" s="124">
        <f>J23+ItemizedExpenses[[#This Row],[Deposit/Credit]]</f>
        <v>25421.17</v>
      </c>
    </row>
    <row r="25" spans="2:10" ht="38.1" customHeight="1" x14ac:dyDescent="0.35">
      <c r="B25" s="79">
        <v>14000</v>
      </c>
      <c r="C25" s="80">
        <v>45170</v>
      </c>
      <c r="D25" s="81"/>
      <c r="E25" s="32" t="s">
        <v>133</v>
      </c>
      <c r="F25" s="83">
        <v>-58.65</v>
      </c>
      <c r="G25" s="90"/>
      <c r="H25" s="32" t="s">
        <v>204</v>
      </c>
      <c r="I25" s="32"/>
      <c r="J25" s="124">
        <f>J24+ItemizedExpenses[[#This Row],[Deposit/Credit]]</f>
        <v>25362.519999999997</v>
      </c>
    </row>
    <row r="26" spans="2:10" ht="38.1" customHeight="1" x14ac:dyDescent="0.35">
      <c r="B26" s="79"/>
      <c r="C26" s="80"/>
      <c r="D26" s="31"/>
      <c r="E26" s="32"/>
      <c r="F26" s="83"/>
      <c r="G26" s="90"/>
      <c r="H26" s="32"/>
      <c r="I26" s="32"/>
      <c r="J26" s="87"/>
    </row>
    <row r="27" spans="2:10" ht="38.1" customHeight="1" x14ac:dyDescent="0.35">
      <c r="B27" s="79"/>
      <c r="C27" s="80"/>
      <c r="D27" s="31"/>
      <c r="E27" s="32"/>
      <c r="F27" s="83"/>
      <c r="G27" s="90"/>
      <c r="H27" s="32"/>
      <c r="I27" s="32"/>
      <c r="J27" s="87"/>
    </row>
    <row r="28" spans="2:10" ht="38.1" customHeight="1" x14ac:dyDescent="0.35">
      <c r="B28" s="79"/>
      <c r="C28" s="80"/>
      <c r="D28" s="81"/>
      <c r="E28" s="32"/>
      <c r="F28" s="83"/>
      <c r="G28" s="90"/>
      <c r="H28" s="32"/>
      <c r="I28" s="32"/>
      <c r="J28" s="87"/>
    </row>
    <row r="29" spans="2:10" ht="38.1" customHeight="1" x14ac:dyDescent="0.35">
      <c r="B29" s="79"/>
      <c r="C29" s="80"/>
      <c r="D29" s="31"/>
      <c r="E29" s="32"/>
      <c r="F29" s="83"/>
      <c r="G29" s="90"/>
      <c r="H29" s="32"/>
      <c r="I29" s="32"/>
      <c r="J29" s="87"/>
    </row>
    <row r="30" spans="2:10" ht="38.1" customHeight="1" x14ac:dyDescent="0.35">
      <c r="B30" s="79"/>
      <c r="C30" s="80"/>
      <c r="D30" s="81"/>
      <c r="E30" s="32"/>
      <c r="F30" s="83"/>
      <c r="G30" s="90"/>
      <c r="H30" s="32"/>
      <c r="I30" s="32"/>
      <c r="J30" s="87"/>
    </row>
    <row r="31" spans="2:10" ht="38.1" customHeight="1" x14ac:dyDescent="0.35">
      <c r="B31" s="79"/>
      <c r="C31" s="80"/>
      <c r="D31" s="81"/>
      <c r="E31" s="32"/>
      <c r="F31" s="83"/>
      <c r="G31" s="90"/>
      <c r="H31" s="32"/>
      <c r="I31" s="32"/>
      <c r="J31" s="87"/>
    </row>
    <row r="32" spans="2:10" ht="38.1" customHeight="1" x14ac:dyDescent="0.35">
      <c r="B32" s="79"/>
      <c r="C32" s="80"/>
      <c r="D32" s="81"/>
      <c r="E32" s="85"/>
      <c r="F32" s="83"/>
      <c r="G32" s="90"/>
      <c r="H32" s="85"/>
      <c r="I32" s="85"/>
      <c r="J32" s="87"/>
    </row>
    <row r="33" spans="2:10" ht="38.1" customHeight="1" x14ac:dyDescent="0.35">
      <c r="B33" s="79"/>
      <c r="C33" s="80"/>
      <c r="D33" s="31"/>
      <c r="E33" s="85"/>
      <c r="F33" s="84"/>
      <c r="G33" s="90"/>
      <c r="H33" s="85"/>
      <c r="I33" s="85"/>
      <c r="J33" s="87"/>
    </row>
    <row r="34" spans="2:10" ht="38.1" customHeight="1" x14ac:dyDescent="0.35">
      <c r="B34" s="79"/>
      <c r="C34" s="80"/>
      <c r="D34" s="31"/>
      <c r="E34" s="85"/>
      <c r="F34" s="84"/>
      <c r="G34" s="90"/>
      <c r="H34" s="85"/>
      <c r="I34" s="85"/>
      <c r="J34" s="87"/>
    </row>
    <row r="35" spans="2:10" ht="38.1" customHeight="1" x14ac:dyDescent="0.35">
      <c r="B35" s="79"/>
      <c r="C35" s="80"/>
      <c r="D35" s="31"/>
      <c r="E35" s="85"/>
      <c r="F35" s="84"/>
      <c r="G35" s="90"/>
      <c r="H35" s="85"/>
      <c r="I35" s="85"/>
      <c r="J35" s="87"/>
    </row>
    <row r="36" spans="2:10" ht="38.1" customHeight="1" x14ac:dyDescent="0.35">
      <c r="B36" s="79"/>
      <c r="C36" s="80"/>
      <c r="D36" s="31"/>
      <c r="E36" s="85"/>
      <c r="F36" s="84"/>
      <c r="G36" s="90"/>
      <c r="H36" s="85"/>
      <c r="I36" s="85"/>
      <c r="J36" s="87"/>
    </row>
    <row r="37" spans="2:10" ht="38.1" customHeight="1" x14ac:dyDescent="0.35">
      <c r="B37" s="79"/>
      <c r="C37" s="80"/>
      <c r="D37" s="31"/>
      <c r="E37" s="85"/>
      <c r="F37" s="84"/>
      <c r="G37" s="90"/>
      <c r="H37" s="85"/>
      <c r="I37" s="85"/>
      <c r="J37" s="87"/>
    </row>
    <row r="38" spans="2:10" ht="38.1" customHeight="1" x14ac:dyDescent="0.35">
      <c r="B38" s="79"/>
      <c r="C38" s="80"/>
      <c r="D38" s="31"/>
      <c r="E38" s="85"/>
      <c r="F38" s="84"/>
      <c r="G38" s="90"/>
      <c r="H38" s="85"/>
      <c r="I38" s="85"/>
      <c r="J38" s="87"/>
    </row>
    <row r="39" spans="2:10" ht="38.1" customHeight="1" x14ac:dyDescent="0.35">
      <c r="B39" s="79"/>
      <c r="C39" s="80"/>
      <c r="D39" s="31"/>
      <c r="E39" s="85"/>
      <c r="F39" s="84"/>
      <c r="G39" s="90"/>
      <c r="H39" s="85"/>
      <c r="I39" s="85"/>
      <c r="J39" s="87"/>
    </row>
    <row r="40" spans="2:10" ht="38.1" customHeight="1" x14ac:dyDescent="0.35">
      <c r="B40" s="79"/>
      <c r="C40" s="80"/>
      <c r="D40" s="81"/>
      <c r="E40" s="85"/>
      <c r="F40" s="84"/>
      <c r="G40" s="90"/>
      <c r="H40" s="85"/>
      <c r="I40" s="85"/>
      <c r="J40" s="87"/>
    </row>
    <row r="41" spans="2:10" ht="38.1" customHeight="1" x14ac:dyDescent="0.35">
      <c r="B41" s="79"/>
      <c r="C41" s="80"/>
      <c r="D41" s="31"/>
      <c r="E41" s="32"/>
      <c r="F41" s="83"/>
      <c r="G41" s="90"/>
      <c r="H41" s="32"/>
      <c r="I41" s="32"/>
      <c r="J41" s="87"/>
    </row>
    <row r="42" spans="2:10" ht="38.1" customHeight="1" x14ac:dyDescent="0.35">
      <c r="B42" s="79"/>
      <c r="C42" s="80"/>
      <c r="D42" s="31"/>
      <c r="E42" s="32"/>
      <c r="F42" s="83"/>
      <c r="G42" s="82"/>
      <c r="H42" s="32"/>
      <c r="I42" s="32"/>
      <c r="J42" s="87"/>
    </row>
    <row r="43" spans="2:10" ht="38.1" customHeight="1" x14ac:dyDescent="0.35">
      <c r="B43" s="89"/>
      <c r="C43" s="80"/>
      <c r="D43" s="92"/>
      <c r="E43" s="91"/>
      <c r="F43" s="95"/>
      <c r="G43" s="91"/>
      <c r="H43" s="91"/>
      <c r="I43" s="32"/>
      <c r="J43" s="87"/>
    </row>
    <row r="44" spans="2:10" ht="38.1" customHeight="1" x14ac:dyDescent="0.35">
      <c r="B44" s="89"/>
      <c r="C44" s="80"/>
      <c r="D44" s="92"/>
      <c r="E44" s="91"/>
      <c r="F44" s="84"/>
      <c r="G44" s="94"/>
      <c r="H44" s="91"/>
      <c r="I44" s="32"/>
      <c r="J44" s="87"/>
    </row>
    <row r="45" spans="2:10" ht="38.1" customHeight="1" x14ac:dyDescent="0.35">
      <c r="B45" s="89"/>
      <c r="C45" s="80"/>
      <c r="D45" s="92"/>
      <c r="E45" s="91"/>
      <c r="F45" s="84"/>
      <c r="G45" s="91"/>
      <c r="H45" s="91"/>
      <c r="I45" s="32"/>
      <c r="J45" s="87"/>
    </row>
    <row r="46" spans="2:10" ht="38.1" customHeight="1" x14ac:dyDescent="0.35">
      <c r="B46" s="89"/>
      <c r="C46" s="80"/>
      <c r="D46" s="92"/>
      <c r="E46" s="91"/>
      <c r="F46" s="84"/>
      <c r="G46" s="94"/>
      <c r="H46" s="91"/>
      <c r="I46" s="32"/>
      <c r="J46" s="87"/>
    </row>
    <row r="47" spans="2:10" ht="38.1" customHeight="1" x14ac:dyDescent="0.35">
      <c r="B47" s="89"/>
      <c r="C47" s="80"/>
      <c r="D47" s="92"/>
      <c r="E47" s="91"/>
      <c r="F47" s="84"/>
      <c r="G47" s="94"/>
      <c r="H47" s="91"/>
      <c r="I47" s="32"/>
      <c r="J47" s="87"/>
    </row>
    <row r="48" spans="2:10" ht="38.1" customHeight="1" x14ac:dyDescent="0.35">
      <c r="B48" s="79"/>
      <c r="C48" s="80"/>
      <c r="D48" s="31"/>
      <c r="E48" s="91"/>
      <c r="F48" s="83"/>
      <c r="G48" s="82"/>
      <c r="H48" s="32"/>
      <c r="I48" s="32"/>
      <c r="J48" s="87"/>
    </row>
    <row r="49" spans="2:10" ht="38.1" customHeight="1" x14ac:dyDescent="0.35">
      <c r="B49" s="79"/>
      <c r="C49" s="80"/>
      <c r="D49" s="81"/>
      <c r="E49" s="91"/>
      <c r="F49" s="83"/>
      <c r="G49" s="32"/>
      <c r="H49" s="32"/>
      <c r="I49" s="32"/>
      <c r="J49" s="87"/>
    </row>
    <row r="50" spans="2:10" ht="38.1" customHeight="1" x14ac:dyDescent="0.35">
      <c r="B50" s="79"/>
      <c r="C50" s="80"/>
      <c r="D50" s="81"/>
      <c r="E50" s="91"/>
      <c r="F50" s="83"/>
      <c r="G50" s="32"/>
      <c r="H50" s="32"/>
      <c r="I50" s="32"/>
      <c r="J50" s="87"/>
    </row>
    <row r="51" spans="2:10" ht="38.1" customHeight="1" x14ac:dyDescent="0.35">
      <c r="B51" s="79"/>
      <c r="C51" s="80"/>
      <c r="D51" s="81"/>
      <c r="E51" s="32"/>
      <c r="F51" s="83"/>
      <c r="G51" s="90"/>
      <c r="H51" s="32"/>
      <c r="I51" s="32"/>
      <c r="J51" s="87"/>
    </row>
    <row r="52" spans="2:10" ht="38.1" customHeight="1" x14ac:dyDescent="0.35">
      <c r="B52" s="79"/>
      <c r="C52" s="80"/>
      <c r="D52" s="81"/>
      <c r="E52" s="32"/>
      <c r="F52" s="83"/>
      <c r="G52" s="90"/>
      <c r="H52" s="32"/>
      <c r="I52" s="32"/>
      <c r="J52" s="87"/>
    </row>
    <row r="53" spans="2:10" ht="38.1" customHeight="1" x14ac:dyDescent="0.35">
      <c r="B53" s="79"/>
      <c r="C53" s="80"/>
      <c r="D53" s="31"/>
      <c r="E53" s="32"/>
      <c r="F53" s="83"/>
      <c r="G53" s="90"/>
      <c r="H53" s="32"/>
      <c r="I53" s="32"/>
      <c r="J53" s="87"/>
    </row>
    <row r="54" spans="2:10" ht="38.1" customHeight="1" x14ac:dyDescent="0.35">
      <c r="B54" s="79"/>
      <c r="C54" s="80"/>
      <c r="D54" s="31"/>
      <c r="E54" s="32"/>
      <c r="F54" s="83"/>
      <c r="G54" s="90"/>
      <c r="H54" s="32"/>
      <c r="I54" s="32"/>
      <c r="J54" s="87"/>
    </row>
    <row r="55" spans="2:10" ht="38.1" customHeight="1" x14ac:dyDescent="0.35">
      <c r="B55" s="79"/>
      <c r="C55" s="80"/>
      <c r="D55" s="31"/>
      <c r="E55" s="32"/>
      <c r="F55" s="83"/>
      <c r="G55" s="90"/>
      <c r="H55" s="32"/>
      <c r="I55" s="32"/>
      <c r="J55" s="87"/>
    </row>
    <row r="56" spans="2:10" ht="38.1" customHeight="1" x14ac:dyDescent="0.35">
      <c r="B56" s="79"/>
      <c r="C56" s="80"/>
      <c r="D56" s="81"/>
      <c r="E56" s="32"/>
      <c r="F56" s="83"/>
      <c r="G56" s="90"/>
      <c r="H56" s="32"/>
      <c r="I56" s="32"/>
      <c r="J56" s="87"/>
    </row>
    <row r="57" spans="2:10" ht="38.1" customHeight="1" x14ac:dyDescent="0.35">
      <c r="B57" s="79"/>
      <c r="C57" s="80"/>
      <c r="D57" s="81"/>
      <c r="E57" s="32"/>
      <c r="F57" s="83"/>
      <c r="G57" s="90"/>
      <c r="H57" s="32"/>
      <c r="I57" s="32"/>
      <c r="J57" s="87"/>
    </row>
    <row r="58" spans="2:10" ht="38.1" customHeight="1" x14ac:dyDescent="0.35">
      <c r="B58" s="79"/>
      <c r="C58" s="80"/>
      <c r="D58" s="81"/>
      <c r="E58" s="32"/>
      <c r="F58" s="83"/>
      <c r="G58" s="90"/>
      <c r="H58" s="32"/>
      <c r="I58" s="32"/>
      <c r="J58" s="87"/>
    </row>
    <row r="59" spans="2:10" ht="38.1" customHeight="1" x14ac:dyDescent="0.35">
      <c r="B59" s="79"/>
      <c r="C59" s="80"/>
      <c r="D59" s="81"/>
      <c r="E59" s="32"/>
      <c r="F59" s="83"/>
      <c r="G59" s="90"/>
      <c r="H59" s="32"/>
      <c r="I59" s="32"/>
      <c r="J59" s="87"/>
    </row>
    <row r="60" spans="2:10" ht="38.1" customHeight="1" x14ac:dyDescent="0.35">
      <c r="B60" s="79"/>
      <c r="C60" s="80"/>
      <c r="D60" s="31"/>
      <c r="E60" s="32"/>
      <c r="F60" s="83"/>
      <c r="G60" s="90"/>
      <c r="H60" s="32"/>
      <c r="I60" s="32"/>
      <c r="J60" s="87"/>
    </row>
    <row r="61" spans="2:10" ht="38.1" customHeight="1" x14ac:dyDescent="0.35">
      <c r="B61" s="79"/>
      <c r="C61" s="80"/>
      <c r="D61" s="31"/>
      <c r="E61" s="32"/>
      <c r="F61" s="83"/>
      <c r="G61" s="90"/>
      <c r="H61" s="32"/>
      <c r="I61" s="32"/>
      <c r="J61" s="87"/>
    </row>
    <row r="62" spans="2:10" ht="38.1" customHeight="1" x14ac:dyDescent="0.35">
      <c r="B62" s="79"/>
      <c r="C62" s="80"/>
      <c r="D62" s="81"/>
      <c r="E62" s="32"/>
      <c r="F62" s="83"/>
      <c r="G62" s="90"/>
      <c r="H62" s="32"/>
      <c r="I62" s="32"/>
      <c r="J62" s="87"/>
    </row>
    <row r="63" spans="2:10" ht="38.1" customHeight="1" x14ac:dyDescent="0.35">
      <c r="B63" s="89"/>
      <c r="C63" s="80"/>
      <c r="D63" s="92"/>
      <c r="E63" s="91"/>
      <c r="F63" s="84"/>
      <c r="G63" s="90"/>
      <c r="H63" s="91"/>
      <c r="I63" s="32"/>
      <c r="J63" s="87"/>
    </row>
    <row r="64" spans="2:10" ht="38.1" customHeight="1" x14ac:dyDescent="0.35">
      <c r="B64" s="89"/>
      <c r="C64" s="80"/>
      <c r="D64" s="92"/>
      <c r="E64" s="91"/>
      <c r="F64" s="83"/>
      <c r="G64" s="82"/>
      <c r="H64" s="91"/>
      <c r="I64" s="32"/>
      <c r="J64" s="87"/>
    </row>
    <row r="65" spans="2:10" ht="38.1" customHeight="1" x14ac:dyDescent="0.35">
      <c r="B65" s="89"/>
      <c r="C65" s="80"/>
      <c r="D65" s="92"/>
      <c r="E65" s="91"/>
      <c r="F65" s="83"/>
      <c r="G65" s="82"/>
      <c r="H65" s="91"/>
      <c r="I65" s="32"/>
      <c r="J65" s="87"/>
    </row>
    <row r="66" spans="2:10" ht="38.1" customHeight="1" x14ac:dyDescent="0.35">
      <c r="B66" s="89"/>
      <c r="C66" s="80"/>
      <c r="D66" s="92"/>
      <c r="E66" s="91"/>
      <c r="F66" s="83"/>
      <c r="G66" s="82"/>
      <c r="H66" s="91"/>
      <c r="I66" s="32"/>
      <c r="J66" s="87"/>
    </row>
    <row r="67" spans="2:10" ht="38.1" customHeight="1" x14ac:dyDescent="0.35">
      <c r="B67" s="89"/>
      <c r="C67" s="80"/>
      <c r="D67" s="93"/>
      <c r="E67" s="91"/>
      <c r="F67" s="83"/>
      <c r="G67" s="32"/>
      <c r="H67" s="32"/>
      <c r="I67" s="32"/>
      <c r="J67" s="87"/>
    </row>
    <row r="68" spans="2:10" ht="38.1" customHeight="1" x14ac:dyDescent="0.35">
      <c r="B68" s="89"/>
      <c r="C68" s="80"/>
      <c r="D68" s="93"/>
      <c r="E68" s="91"/>
      <c r="F68" s="83"/>
      <c r="G68" s="32"/>
      <c r="H68" s="32"/>
      <c r="I68" s="32"/>
      <c r="J68" s="87"/>
    </row>
    <row r="69" spans="2:10" ht="38.1" customHeight="1" x14ac:dyDescent="0.35">
      <c r="B69" s="89"/>
      <c r="C69" s="80"/>
      <c r="D69" s="93"/>
      <c r="E69" s="91"/>
      <c r="F69" s="83"/>
      <c r="G69" s="82"/>
      <c r="H69" s="32"/>
      <c r="I69" s="32"/>
      <c r="J69" s="87"/>
    </row>
    <row r="70" spans="2:10" ht="38.1" customHeight="1" x14ac:dyDescent="0.35">
      <c r="B70" s="89"/>
      <c r="C70" s="80"/>
      <c r="D70" s="93"/>
      <c r="E70" s="91"/>
      <c r="F70" s="83"/>
      <c r="G70" s="82"/>
      <c r="H70" s="32"/>
      <c r="I70" s="32"/>
      <c r="J70" s="87"/>
    </row>
    <row r="71" spans="2:10" ht="38.1" customHeight="1" x14ac:dyDescent="0.35">
      <c r="B71" s="79"/>
      <c r="C71" s="80"/>
      <c r="D71" s="81"/>
      <c r="E71" s="91"/>
      <c r="F71" s="83"/>
      <c r="G71" s="32"/>
      <c r="H71" s="32"/>
      <c r="I71" s="32"/>
      <c r="J71" s="87"/>
    </row>
    <row r="72" spans="2:10" ht="38.1" customHeight="1" x14ac:dyDescent="0.35">
      <c r="B72" s="79"/>
      <c r="C72" s="80"/>
      <c r="D72" s="31"/>
      <c r="E72" s="91"/>
      <c r="F72" s="83"/>
      <c r="G72" s="82"/>
      <c r="H72" s="32"/>
      <c r="I72" s="32"/>
      <c r="J72" s="87"/>
    </row>
    <row r="73" spans="2:10" ht="38.1" customHeight="1" x14ac:dyDescent="0.35">
      <c r="B73" s="79"/>
      <c r="C73" s="80"/>
      <c r="D73" s="31"/>
      <c r="E73" s="91"/>
      <c r="F73" s="83"/>
      <c r="G73" s="82"/>
      <c r="H73" s="32"/>
      <c r="I73" s="32"/>
      <c r="J73" s="87"/>
    </row>
    <row r="74" spans="2:10" ht="38.1" customHeight="1" x14ac:dyDescent="0.35">
      <c r="B74" s="79"/>
      <c r="C74" s="80"/>
      <c r="D74" s="81"/>
      <c r="E74" s="91"/>
      <c r="F74" s="83"/>
      <c r="G74" s="32"/>
      <c r="H74" s="32"/>
      <c r="I74" s="32"/>
      <c r="J74" s="87"/>
    </row>
    <row r="75" spans="2:10" ht="38.1" customHeight="1" x14ac:dyDescent="0.35">
      <c r="B75" s="79"/>
      <c r="C75" s="80"/>
      <c r="D75" s="81"/>
      <c r="E75" s="91"/>
      <c r="F75" s="83"/>
      <c r="G75" s="32"/>
      <c r="H75" s="32"/>
      <c r="I75" s="32"/>
      <c r="J75" s="87"/>
    </row>
    <row r="76" spans="2:10" ht="38.1" customHeight="1" x14ac:dyDescent="0.35">
      <c r="B76" s="89"/>
      <c r="C76" s="80"/>
      <c r="D76" s="93"/>
      <c r="E76" s="91"/>
      <c r="F76" s="83"/>
      <c r="G76" s="82"/>
      <c r="H76" s="32"/>
      <c r="I76" s="32"/>
      <c r="J76" s="87"/>
    </row>
    <row r="77" spans="2:10" ht="38.1" customHeight="1" x14ac:dyDescent="0.35">
      <c r="B77" s="89"/>
      <c r="C77" s="80"/>
      <c r="D77" s="93"/>
      <c r="E77" s="91"/>
      <c r="F77" s="83"/>
      <c r="G77" s="82"/>
      <c r="H77" s="32"/>
      <c r="I77" s="32"/>
      <c r="J77" s="87"/>
    </row>
    <row r="78" spans="2:10" ht="38.1" customHeight="1" x14ac:dyDescent="0.35">
      <c r="B78" s="89"/>
      <c r="C78" s="80"/>
      <c r="D78" s="93"/>
      <c r="E78" s="91"/>
      <c r="F78" s="83"/>
      <c r="G78" s="82"/>
      <c r="H78" s="32"/>
      <c r="I78" s="32"/>
      <c r="J78" s="87"/>
    </row>
    <row r="79" spans="2:10" ht="38.1" customHeight="1" x14ac:dyDescent="0.35">
      <c r="B79" s="79"/>
      <c r="C79" s="80"/>
      <c r="D79" s="81"/>
      <c r="E79" s="91"/>
      <c r="F79" s="83"/>
      <c r="G79" s="32"/>
      <c r="H79" s="32"/>
      <c r="I79" s="32"/>
      <c r="J79" s="87"/>
    </row>
    <row r="80" spans="2:10" ht="38.1" customHeight="1" x14ac:dyDescent="0.35">
      <c r="B80" s="79"/>
      <c r="C80" s="80"/>
      <c r="D80" s="81"/>
      <c r="E80" s="91"/>
      <c r="F80" s="83"/>
      <c r="G80" s="82"/>
      <c r="H80" s="32"/>
      <c r="I80" s="32"/>
      <c r="J80" s="87"/>
    </row>
    <row r="81" spans="2:10" ht="38.1" customHeight="1" x14ac:dyDescent="0.35">
      <c r="B81" s="79"/>
      <c r="C81" s="80"/>
      <c r="D81" s="81"/>
      <c r="E81" s="91"/>
      <c r="F81" s="83"/>
      <c r="G81" s="82"/>
      <c r="H81" s="32"/>
      <c r="I81" s="32"/>
      <c r="J81" s="87"/>
    </row>
    <row r="82" spans="2:10" ht="38.1" customHeight="1" x14ac:dyDescent="0.35">
      <c r="B82" s="79"/>
      <c r="C82" s="80"/>
      <c r="D82" s="81"/>
      <c r="E82" s="91"/>
      <c r="F82" s="83"/>
      <c r="G82" s="32"/>
      <c r="H82" s="32"/>
      <c r="I82" s="32"/>
      <c r="J82" s="87"/>
    </row>
    <row r="83" spans="2:10" ht="38.1" customHeight="1" x14ac:dyDescent="0.35">
      <c r="B83" s="79"/>
      <c r="C83" s="80"/>
      <c r="D83" s="31"/>
      <c r="E83" s="91"/>
      <c r="F83" s="83"/>
      <c r="G83" s="82"/>
      <c r="H83" s="32"/>
      <c r="I83" s="32"/>
      <c r="J83" s="87"/>
    </row>
    <row r="84" spans="2:10" ht="38.1" customHeight="1" x14ac:dyDescent="0.35">
      <c r="B84" s="79"/>
      <c r="C84" s="80"/>
      <c r="D84" s="81"/>
      <c r="E84" s="91"/>
      <c r="F84" s="83"/>
      <c r="G84" s="32"/>
      <c r="H84" s="32"/>
      <c r="I84" s="32"/>
      <c r="J84" s="87"/>
    </row>
    <row r="85" spans="2:10" ht="38.1" customHeight="1" x14ac:dyDescent="0.35">
      <c r="B85" s="79"/>
      <c r="C85" s="80"/>
      <c r="D85" s="81"/>
      <c r="E85" s="91"/>
      <c r="F85" s="83"/>
      <c r="G85" s="82"/>
      <c r="H85" s="32"/>
      <c r="I85" s="32"/>
      <c r="J85" s="87"/>
    </row>
    <row r="86" spans="2:10" ht="38.1" customHeight="1" x14ac:dyDescent="0.35">
      <c r="B86" s="79"/>
      <c r="C86" s="80"/>
      <c r="D86" s="81"/>
      <c r="E86" s="91"/>
      <c r="F86" s="83"/>
      <c r="G86" s="82"/>
      <c r="H86" s="32"/>
      <c r="I86" s="32"/>
      <c r="J86" s="87"/>
    </row>
    <row r="87" spans="2:10" ht="38.1" customHeight="1" x14ac:dyDescent="0.35">
      <c r="B87" s="79"/>
      <c r="C87" s="80"/>
      <c r="D87" s="31"/>
      <c r="E87" s="91"/>
      <c r="F87" s="83"/>
      <c r="G87" s="82"/>
      <c r="H87" s="32"/>
      <c r="I87" s="32"/>
      <c r="J87" s="87"/>
    </row>
    <row r="88" spans="2:10" ht="38.1" customHeight="1" x14ac:dyDescent="0.35">
      <c r="B88" s="79"/>
      <c r="C88" s="80"/>
      <c r="D88" s="31"/>
      <c r="E88" s="91"/>
      <c r="F88" s="83"/>
      <c r="G88" s="82"/>
      <c r="H88" s="32"/>
      <c r="I88" s="32"/>
      <c r="J88" s="87"/>
    </row>
    <row r="89" spans="2:10" ht="38.1" customHeight="1" x14ac:dyDescent="0.35">
      <c r="B89" s="79"/>
      <c r="C89" s="80"/>
      <c r="D89" s="31"/>
      <c r="E89" s="91"/>
      <c r="F89" s="83"/>
      <c r="G89" s="82"/>
      <c r="H89" s="32"/>
      <c r="I89" s="32"/>
      <c r="J89" s="87"/>
    </row>
    <row r="90" spans="2:10" ht="38.1" customHeight="1" x14ac:dyDescent="0.35">
      <c r="B90" s="79"/>
      <c r="C90" s="80"/>
      <c r="D90" s="81"/>
      <c r="E90" s="91"/>
      <c r="F90" s="83"/>
      <c r="G90" s="32"/>
      <c r="H90" s="32"/>
      <c r="I90" s="32"/>
      <c r="J90" s="87"/>
    </row>
    <row r="91" spans="2:10" ht="38.1" customHeight="1" x14ac:dyDescent="0.35">
      <c r="B91" s="79"/>
      <c r="C91" s="80"/>
      <c r="D91" s="31"/>
      <c r="E91" s="91"/>
      <c r="F91" s="83"/>
      <c r="G91" s="32"/>
      <c r="H91" s="32"/>
      <c r="I91" s="32"/>
      <c r="J91" s="87"/>
    </row>
    <row r="92" spans="2:10" ht="38.1" customHeight="1" x14ac:dyDescent="0.35">
      <c r="B92" s="79"/>
      <c r="C92" s="80"/>
      <c r="D92" s="31"/>
      <c r="E92" s="91"/>
      <c r="F92" s="83"/>
      <c r="G92" s="82"/>
      <c r="H92" s="32"/>
      <c r="I92" s="32"/>
      <c r="J92" s="87"/>
    </row>
    <row r="93" spans="2:10" ht="38.1" customHeight="1" x14ac:dyDescent="0.35">
      <c r="B93" s="79"/>
      <c r="C93" s="80"/>
      <c r="D93" s="31"/>
      <c r="E93" s="91"/>
      <c r="F93" s="83"/>
      <c r="G93" s="82"/>
      <c r="H93" s="32"/>
      <c r="I93" s="32"/>
      <c r="J93" s="87"/>
    </row>
    <row r="94" spans="2:10" ht="38.1" customHeight="1" x14ac:dyDescent="0.35">
      <c r="B94" s="79"/>
      <c r="C94" s="80"/>
      <c r="D94" s="31"/>
      <c r="E94" s="91"/>
      <c r="F94" s="83"/>
      <c r="G94" s="82"/>
      <c r="H94" s="32"/>
      <c r="I94" s="32"/>
      <c r="J94" s="87"/>
    </row>
    <row r="95" spans="2:10" ht="38.1" customHeight="1" x14ac:dyDescent="0.35">
      <c r="B95" s="79"/>
      <c r="C95" s="80"/>
      <c r="D95" s="31"/>
      <c r="E95" s="91"/>
      <c r="F95" s="83"/>
      <c r="G95" s="82"/>
      <c r="H95" s="32"/>
      <c r="I95" s="32"/>
      <c r="J95" s="87"/>
    </row>
    <row r="96" spans="2:10" ht="38.1" customHeight="1" x14ac:dyDescent="0.35">
      <c r="B96" s="79"/>
      <c r="C96" s="80"/>
      <c r="D96" s="81"/>
      <c r="E96" s="91"/>
      <c r="F96" s="83"/>
      <c r="G96" s="32"/>
      <c r="H96" s="32"/>
      <c r="I96" s="32"/>
      <c r="J96" s="87"/>
    </row>
    <row r="97" spans="2:10" ht="38.1" customHeight="1" x14ac:dyDescent="0.35">
      <c r="B97" s="79"/>
      <c r="C97" s="80"/>
      <c r="D97" s="81"/>
      <c r="E97" s="91"/>
      <c r="F97" s="83"/>
      <c r="G97" s="32"/>
      <c r="H97" s="32"/>
      <c r="I97" s="32"/>
      <c r="J97" s="87"/>
    </row>
    <row r="98" spans="2:10" ht="38.1" customHeight="1" x14ac:dyDescent="0.35">
      <c r="B98" s="79"/>
      <c r="C98" s="80"/>
      <c r="D98" s="81"/>
      <c r="E98" s="91"/>
      <c r="F98" s="83"/>
      <c r="G98" s="32"/>
      <c r="H98" s="32"/>
      <c r="I98" s="32"/>
      <c r="J98" s="87"/>
    </row>
    <row r="99" spans="2:10" ht="38.1" customHeight="1" x14ac:dyDescent="0.35">
      <c r="B99" s="79"/>
      <c r="C99" s="80"/>
      <c r="D99" s="81"/>
      <c r="E99" s="91"/>
      <c r="F99" s="83"/>
      <c r="G99" s="32"/>
      <c r="H99" s="32"/>
      <c r="I99" s="32"/>
      <c r="J99" s="87"/>
    </row>
    <row r="100" spans="2:10" ht="38.1" customHeight="1" x14ac:dyDescent="0.35">
      <c r="B100" s="79"/>
      <c r="C100" s="80"/>
      <c r="D100" s="81"/>
      <c r="E100" s="91"/>
      <c r="F100" s="83"/>
      <c r="G100" s="32"/>
      <c r="H100" s="32"/>
      <c r="I100" s="32"/>
      <c r="J100" s="87"/>
    </row>
    <row r="101" spans="2:10" ht="38.1" customHeight="1" x14ac:dyDescent="0.35">
      <c r="B101" s="79"/>
      <c r="C101" s="80"/>
      <c r="D101" s="81"/>
      <c r="E101" s="91"/>
      <c r="F101" s="83"/>
      <c r="G101" s="32"/>
      <c r="H101" s="32"/>
      <c r="I101" s="32"/>
      <c r="J101" s="87"/>
    </row>
    <row r="102" spans="2:10" ht="38.1" customHeight="1" x14ac:dyDescent="0.35">
      <c r="B102" s="79"/>
      <c r="C102" s="80"/>
      <c r="D102" s="81"/>
      <c r="E102" s="91"/>
      <c r="F102" s="83"/>
      <c r="G102" s="32"/>
      <c r="H102" s="32"/>
      <c r="I102" s="32"/>
      <c r="J102" s="87"/>
    </row>
    <row r="103" spans="2:10" ht="38.1" customHeight="1" x14ac:dyDescent="0.35">
      <c r="B103" s="79"/>
      <c r="C103" s="80"/>
      <c r="D103" s="81"/>
      <c r="E103" s="91"/>
      <c r="F103" s="83"/>
      <c r="G103" s="32"/>
      <c r="H103" s="32"/>
      <c r="I103" s="32"/>
      <c r="J103" s="87"/>
    </row>
    <row r="104" spans="2:10" ht="38.1" customHeight="1" x14ac:dyDescent="0.35">
      <c r="B104" s="79"/>
      <c r="C104" s="80"/>
      <c r="D104" s="81"/>
      <c r="E104" s="91"/>
      <c r="F104" s="83"/>
      <c r="G104" s="32"/>
      <c r="H104" s="32"/>
      <c r="I104" s="32"/>
      <c r="J104" s="87"/>
    </row>
    <row r="105" spans="2:10" ht="38.1" customHeight="1" x14ac:dyDescent="0.35">
      <c r="B105" s="79"/>
      <c r="C105" s="80"/>
      <c r="D105" s="81"/>
      <c r="E105" s="91"/>
      <c r="F105" s="83"/>
      <c r="G105" s="32"/>
      <c r="H105" s="32"/>
      <c r="I105" s="32"/>
      <c r="J105" s="87"/>
    </row>
    <row r="106" spans="2:10" ht="38.1" customHeight="1" x14ac:dyDescent="0.35">
      <c r="B106" s="79"/>
      <c r="C106" s="80"/>
      <c r="D106" s="81"/>
      <c r="E106" s="91"/>
      <c r="F106" s="83"/>
      <c r="G106" s="32"/>
      <c r="H106" s="32"/>
      <c r="I106" s="32"/>
      <c r="J106" s="87"/>
    </row>
    <row r="107" spans="2:10" ht="38.1" customHeight="1" x14ac:dyDescent="0.35">
      <c r="B107" s="79"/>
      <c r="C107" s="80"/>
      <c r="D107" s="31"/>
      <c r="E107" s="91"/>
      <c r="F107" s="83"/>
      <c r="G107" s="82"/>
      <c r="H107" s="32"/>
      <c r="I107" s="32"/>
      <c r="J107" s="87"/>
    </row>
    <row r="108" spans="2:10" ht="38.1" customHeight="1" x14ac:dyDescent="0.35">
      <c r="B108" s="79"/>
      <c r="C108" s="80"/>
      <c r="D108" s="31"/>
      <c r="E108" s="91"/>
      <c r="F108" s="83"/>
      <c r="G108" s="82"/>
      <c r="H108" s="32"/>
      <c r="I108" s="32"/>
      <c r="J108" s="87"/>
    </row>
    <row r="109" spans="2:10" ht="38.1" customHeight="1" x14ac:dyDescent="0.35">
      <c r="B109" s="79"/>
      <c r="C109" s="80"/>
      <c r="D109" s="31"/>
      <c r="E109" s="91"/>
      <c r="F109" s="83"/>
      <c r="G109" s="82"/>
      <c r="H109" s="32"/>
      <c r="I109" s="32"/>
      <c r="J109" s="87"/>
    </row>
    <row r="110" spans="2:10" ht="38.1" customHeight="1" x14ac:dyDescent="0.35">
      <c r="B110" s="79"/>
      <c r="C110" s="80"/>
      <c r="D110" s="31"/>
      <c r="E110" s="91"/>
      <c r="F110" s="83"/>
      <c r="G110" s="82"/>
      <c r="H110" s="32"/>
      <c r="I110" s="32"/>
      <c r="J110" s="87"/>
    </row>
    <row r="111" spans="2:10" ht="38.1" customHeight="1" x14ac:dyDescent="0.35">
      <c r="B111" s="79"/>
      <c r="C111" s="80"/>
      <c r="D111" s="81"/>
      <c r="E111" s="91"/>
      <c r="F111" s="83"/>
      <c r="G111" s="82"/>
      <c r="H111" s="32"/>
      <c r="I111" s="32"/>
      <c r="J111" s="87"/>
    </row>
    <row r="112" spans="2:10" ht="38.1" customHeight="1" x14ac:dyDescent="0.35">
      <c r="B112" s="79"/>
      <c r="C112" s="80"/>
      <c r="D112" s="81"/>
      <c r="E112" s="91"/>
      <c r="F112" s="83"/>
      <c r="G112" s="82"/>
      <c r="H112" s="32"/>
      <c r="I112" s="32"/>
      <c r="J112" s="87"/>
    </row>
    <row r="113" spans="2:10" ht="38.1" customHeight="1" x14ac:dyDescent="0.35">
      <c r="B113" s="79"/>
      <c r="C113" s="80"/>
      <c r="D113" s="81"/>
      <c r="E113" s="91"/>
      <c r="F113" s="83"/>
      <c r="G113" s="82"/>
      <c r="H113" s="32"/>
      <c r="I113" s="32"/>
      <c r="J113" s="87"/>
    </row>
    <row r="114" spans="2:10" ht="38.1" customHeight="1" x14ac:dyDescent="0.35">
      <c r="B114" s="79"/>
      <c r="C114" s="80"/>
      <c r="D114" s="81"/>
      <c r="E114" s="91"/>
      <c r="F114" s="83"/>
      <c r="G114" s="32"/>
      <c r="H114" s="32"/>
      <c r="I114" s="32"/>
      <c r="J114" s="87"/>
    </row>
    <row r="115" spans="2:10" ht="38.1" customHeight="1" x14ac:dyDescent="0.35">
      <c r="B115" s="79"/>
      <c r="C115" s="80"/>
      <c r="D115" s="31"/>
      <c r="E115" s="91"/>
      <c r="F115" s="83"/>
      <c r="G115" s="82"/>
      <c r="H115" s="32"/>
      <c r="I115" s="32"/>
      <c r="J115" s="87"/>
    </row>
    <row r="116" spans="2:10" ht="38.1" customHeight="1" x14ac:dyDescent="0.35">
      <c r="B116" s="79"/>
      <c r="C116" s="80"/>
      <c r="D116" s="31"/>
      <c r="E116" s="91"/>
      <c r="F116" s="83"/>
      <c r="G116" s="82"/>
      <c r="H116" s="32"/>
      <c r="I116" s="32"/>
      <c r="J116" s="87"/>
    </row>
    <row r="117" spans="2:10" ht="38.1" customHeight="1" x14ac:dyDescent="0.35">
      <c r="B117" s="79"/>
      <c r="C117" s="80"/>
      <c r="D117" s="31"/>
      <c r="E117" s="91"/>
      <c r="F117" s="83"/>
      <c r="G117" s="82"/>
      <c r="H117" s="32"/>
      <c r="I117" s="32"/>
      <c r="J117" s="87"/>
    </row>
    <row r="118" spans="2:10" ht="38.1" customHeight="1" x14ac:dyDescent="0.35">
      <c r="B118" s="79"/>
      <c r="C118" s="80"/>
      <c r="D118" s="31"/>
      <c r="E118" s="91"/>
      <c r="F118" s="83"/>
      <c r="G118" s="82"/>
      <c r="H118" s="32"/>
      <c r="I118" s="32"/>
      <c r="J118" s="87"/>
    </row>
    <row r="119" spans="2:10" ht="38.1" customHeight="1" x14ac:dyDescent="0.35">
      <c r="B119" s="79"/>
      <c r="C119" s="80"/>
      <c r="D119" s="31"/>
      <c r="E119" s="91"/>
      <c r="F119" s="83"/>
      <c r="G119" s="82"/>
      <c r="H119" s="32"/>
      <c r="I119" s="32"/>
      <c r="J119" s="87"/>
    </row>
    <row r="120" spans="2:10" ht="38.1" customHeight="1" x14ac:dyDescent="0.35">
      <c r="B120" s="79"/>
      <c r="C120" s="80"/>
      <c r="D120" s="31"/>
      <c r="E120" s="91"/>
      <c r="F120" s="83"/>
      <c r="G120" s="82"/>
      <c r="H120" s="32"/>
      <c r="I120" s="32"/>
      <c r="J120" s="87"/>
    </row>
    <row r="121" spans="2:10" ht="38.1" customHeight="1" x14ac:dyDescent="0.35">
      <c r="B121" s="79"/>
      <c r="C121" s="80"/>
      <c r="D121" s="31"/>
      <c r="E121" s="91"/>
      <c r="F121" s="83"/>
      <c r="G121" s="82"/>
      <c r="H121" s="32"/>
      <c r="I121" s="32"/>
      <c r="J121" s="87"/>
    </row>
    <row r="122" spans="2:10" ht="38.1" customHeight="1" x14ac:dyDescent="0.35">
      <c r="B122" s="79"/>
      <c r="C122" s="80"/>
      <c r="D122" s="81"/>
      <c r="E122" s="91"/>
      <c r="F122" s="83"/>
      <c r="G122" s="32"/>
      <c r="H122" s="32"/>
      <c r="I122" s="32"/>
      <c r="J122" s="87"/>
    </row>
    <row r="123" spans="2:10" ht="38.1" customHeight="1" x14ac:dyDescent="0.35">
      <c r="B123" s="79"/>
      <c r="C123" s="80"/>
      <c r="D123" s="81"/>
      <c r="E123" s="91"/>
      <c r="F123" s="83"/>
      <c r="G123" s="32"/>
      <c r="H123" s="32"/>
      <c r="I123" s="32"/>
      <c r="J123" s="87"/>
    </row>
    <row r="124" spans="2:10" ht="38.1" customHeight="1" x14ac:dyDescent="0.35">
      <c r="B124" s="79"/>
      <c r="C124" s="80"/>
      <c r="D124" s="31"/>
      <c r="E124" s="91"/>
      <c r="F124" s="83"/>
      <c r="G124" s="32"/>
      <c r="H124" s="32"/>
      <c r="I124" s="32"/>
      <c r="J124" s="87"/>
    </row>
    <row r="125" spans="2:10" ht="38.1" customHeight="1" x14ac:dyDescent="0.35">
      <c r="B125" s="79"/>
      <c r="C125" s="80"/>
      <c r="D125" s="81"/>
      <c r="E125" s="91"/>
      <c r="F125" s="83"/>
      <c r="G125" s="32"/>
      <c r="H125" s="32"/>
      <c r="I125" s="32"/>
      <c r="J125" s="87"/>
    </row>
    <row r="126" spans="2:10" ht="38.1" customHeight="1" x14ac:dyDescent="0.35">
      <c r="B126" s="79"/>
      <c r="C126" s="80"/>
      <c r="D126" s="81"/>
      <c r="E126" s="91"/>
      <c r="F126" s="83"/>
      <c r="G126" s="32"/>
      <c r="H126" s="32"/>
      <c r="I126" s="32"/>
      <c r="J126" s="87"/>
    </row>
    <row r="127" spans="2:10" ht="38.1" customHeight="1" x14ac:dyDescent="0.35">
      <c r="B127" s="79"/>
      <c r="C127" s="80"/>
      <c r="D127" s="81"/>
      <c r="E127" s="91"/>
      <c r="F127" s="83"/>
      <c r="G127" s="32"/>
      <c r="H127" s="32"/>
      <c r="I127" s="32"/>
      <c r="J127" s="87"/>
    </row>
    <row r="128" spans="2:10" ht="38.1" customHeight="1" x14ac:dyDescent="0.35">
      <c r="B128" s="79"/>
      <c r="C128" s="80"/>
      <c r="D128" s="81"/>
      <c r="E128" s="91"/>
      <c r="F128" s="83"/>
      <c r="G128" s="32"/>
      <c r="H128" s="32"/>
      <c r="I128" s="32"/>
      <c r="J128" s="87"/>
    </row>
    <row r="129" spans="2:10" ht="38.1" customHeight="1" x14ac:dyDescent="0.35">
      <c r="B129" s="79"/>
      <c r="C129" s="80"/>
      <c r="D129" s="81"/>
      <c r="E129" s="91"/>
      <c r="F129" s="83"/>
      <c r="G129" s="32"/>
      <c r="H129" s="32"/>
      <c r="I129" s="32"/>
      <c r="J129" s="87"/>
    </row>
    <row r="130" spans="2:10" ht="38.1" customHeight="1" x14ac:dyDescent="0.35">
      <c r="B130" s="79"/>
      <c r="C130" s="80"/>
      <c r="D130" s="81"/>
      <c r="E130" s="91"/>
      <c r="F130" s="83"/>
      <c r="G130" s="32"/>
      <c r="H130" s="32"/>
      <c r="I130" s="32"/>
      <c r="J130" s="87"/>
    </row>
    <row r="131" spans="2:10" ht="38.1" customHeight="1" x14ac:dyDescent="0.35">
      <c r="B131" s="79"/>
      <c r="C131" s="80"/>
      <c r="D131" s="81"/>
      <c r="E131" s="91"/>
      <c r="F131" s="83"/>
      <c r="G131" s="32"/>
      <c r="H131" s="32"/>
      <c r="I131" s="32"/>
      <c r="J131" s="87"/>
    </row>
    <row r="132" spans="2:10" ht="38.1" customHeight="1" x14ac:dyDescent="0.35">
      <c r="B132" s="79"/>
      <c r="C132" s="80"/>
      <c r="D132" s="81"/>
      <c r="E132" s="91"/>
      <c r="F132" s="83"/>
      <c r="G132" s="32"/>
      <c r="H132" s="32"/>
      <c r="I132" s="32"/>
      <c r="J132" s="87"/>
    </row>
    <row r="133" spans="2:10" ht="38.1" customHeight="1" x14ac:dyDescent="0.35">
      <c r="B133" s="79"/>
      <c r="C133" s="80"/>
      <c r="D133" s="31"/>
      <c r="E133" s="91"/>
      <c r="F133" s="83"/>
      <c r="G133" s="82"/>
      <c r="H133" s="32"/>
      <c r="I133" s="32"/>
      <c r="J133" s="87"/>
    </row>
    <row r="134" spans="2:10" ht="38.1" customHeight="1" x14ac:dyDescent="0.35">
      <c r="B134" s="79"/>
      <c r="C134" s="80"/>
      <c r="D134" s="31"/>
      <c r="E134" s="91"/>
      <c r="F134" s="83"/>
      <c r="G134" s="82"/>
      <c r="H134" s="32"/>
      <c r="I134" s="32"/>
      <c r="J134" s="87"/>
    </row>
    <row r="135" spans="2:10" ht="38.1" customHeight="1" x14ac:dyDescent="0.35">
      <c r="B135" s="79"/>
      <c r="C135" s="80"/>
      <c r="D135" s="31"/>
      <c r="E135" s="91"/>
      <c r="F135" s="83"/>
      <c r="G135" s="82"/>
      <c r="H135" s="32"/>
      <c r="I135" s="32"/>
      <c r="J135" s="87"/>
    </row>
    <row r="136" spans="2:10" ht="38.1" customHeight="1" x14ac:dyDescent="0.35">
      <c r="B136" s="79"/>
      <c r="C136" s="80"/>
      <c r="D136" s="81"/>
      <c r="E136" s="91"/>
      <c r="F136" s="83"/>
      <c r="G136" s="32"/>
      <c r="H136" s="32"/>
      <c r="I136" s="32"/>
      <c r="J136" s="87"/>
    </row>
    <row r="137" spans="2:10" ht="38.1" customHeight="1" x14ac:dyDescent="0.35">
      <c r="B137" s="79"/>
      <c r="C137" s="80"/>
      <c r="D137" s="81"/>
      <c r="E137" s="91"/>
      <c r="F137" s="83"/>
      <c r="G137" s="32"/>
      <c r="H137" s="32"/>
      <c r="I137" s="32"/>
      <c r="J137" s="87"/>
    </row>
    <row r="138" spans="2:10" ht="38.1" customHeight="1" x14ac:dyDescent="0.35">
      <c r="B138" s="79"/>
      <c r="C138" s="80"/>
      <c r="D138" s="81"/>
      <c r="E138" s="91"/>
      <c r="F138" s="83"/>
      <c r="G138" s="32"/>
      <c r="H138" s="32"/>
      <c r="I138" s="32"/>
      <c r="J138" s="87"/>
    </row>
    <row r="139" spans="2:10" ht="38.1" customHeight="1" x14ac:dyDescent="0.35">
      <c r="B139" s="79"/>
      <c r="C139" s="80"/>
      <c r="D139" s="81"/>
      <c r="E139" s="91"/>
      <c r="F139" s="83"/>
      <c r="G139" s="32"/>
      <c r="H139" s="32"/>
      <c r="I139" s="32"/>
      <c r="J139" s="87"/>
    </row>
    <row r="140" spans="2:10" ht="38.1" customHeight="1" x14ac:dyDescent="0.35">
      <c r="B140" s="79"/>
      <c r="C140" s="80"/>
      <c r="D140" s="81"/>
      <c r="E140" s="91"/>
      <c r="F140" s="83"/>
      <c r="G140" s="32"/>
      <c r="H140" s="32"/>
      <c r="I140" s="32"/>
      <c r="J140" s="87"/>
    </row>
    <row r="141" spans="2:10" ht="38.1" customHeight="1" x14ac:dyDescent="0.35">
      <c r="B141" s="79"/>
      <c r="C141" s="80"/>
      <c r="D141" s="81"/>
      <c r="E141" s="91"/>
      <c r="F141" s="83"/>
      <c r="G141" s="32"/>
      <c r="H141" s="32"/>
      <c r="I141" s="32"/>
      <c r="J141" s="87"/>
    </row>
    <row r="142" spans="2:10" ht="38.1" customHeight="1" x14ac:dyDescent="0.35">
      <c r="B142" s="79"/>
      <c r="C142" s="80"/>
      <c r="D142" s="31"/>
      <c r="E142" s="91"/>
      <c r="F142" s="83"/>
      <c r="G142" s="82"/>
      <c r="H142" s="32"/>
      <c r="I142" s="32"/>
      <c r="J142" s="87"/>
    </row>
    <row r="143" spans="2:10" ht="38.1" customHeight="1" x14ac:dyDescent="0.35">
      <c r="B143" s="79"/>
      <c r="C143" s="80"/>
      <c r="D143" s="81"/>
      <c r="E143" s="91"/>
      <c r="F143" s="83"/>
      <c r="G143" s="32"/>
      <c r="H143" s="32"/>
      <c r="I143" s="32"/>
      <c r="J143" s="87"/>
    </row>
    <row r="144" spans="2:10" ht="38.1" customHeight="1" x14ac:dyDescent="0.35">
      <c r="B144" s="79"/>
      <c r="C144" s="80"/>
      <c r="D144" s="81"/>
      <c r="E144" s="91"/>
      <c r="F144" s="83"/>
      <c r="G144" s="32"/>
      <c r="H144" s="32"/>
      <c r="I144" s="32"/>
      <c r="J144" s="87"/>
    </row>
    <row r="145" spans="2:10" ht="38.1" customHeight="1" x14ac:dyDescent="0.35">
      <c r="B145" s="79"/>
      <c r="C145" s="80"/>
      <c r="D145" s="81"/>
      <c r="E145" s="91"/>
      <c r="F145" s="83"/>
      <c r="G145" s="32"/>
      <c r="H145" s="32"/>
      <c r="I145" s="32"/>
      <c r="J145" s="87"/>
    </row>
    <row r="146" spans="2:10" ht="38.1" customHeight="1" x14ac:dyDescent="0.35">
      <c r="B146" s="79"/>
      <c r="C146" s="80"/>
      <c r="D146" s="81"/>
      <c r="E146" s="91"/>
      <c r="F146" s="83"/>
      <c r="G146" s="82"/>
      <c r="H146" s="32"/>
      <c r="I146" s="32"/>
      <c r="J146" s="87"/>
    </row>
    <row r="147" spans="2:10" ht="38.1" customHeight="1" x14ac:dyDescent="0.35">
      <c r="B147" s="79"/>
      <c r="C147" s="80"/>
      <c r="D147" s="81"/>
      <c r="E147" s="91"/>
      <c r="F147" s="83"/>
      <c r="G147" s="82"/>
      <c r="H147" s="32"/>
      <c r="I147" s="32"/>
      <c r="J147" s="87"/>
    </row>
    <row r="148" spans="2:10" ht="38.1" customHeight="1" x14ac:dyDescent="0.35">
      <c r="B148" s="79"/>
      <c r="C148" s="80"/>
      <c r="D148" s="81"/>
      <c r="E148" s="91"/>
      <c r="F148" s="83"/>
      <c r="G148" s="82"/>
      <c r="H148" s="32"/>
      <c r="I148" s="32"/>
      <c r="J148" s="87"/>
    </row>
    <row r="149" spans="2:10" ht="38.1" customHeight="1" x14ac:dyDescent="0.35">
      <c r="B149" s="79"/>
      <c r="C149" s="80"/>
      <c r="D149" s="81"/>
      <c r="E149" s="91"/>
      <c r="F149" s="83"/>
      <c r="G149" s="82"/>
      <c r="H149" s="32"/>
      <c r="I149" s="32"/>
      <c r="J149" s="87"/>
    </row>
    <row r="150" spans="2:10" ht="38.1" customHeight="1" x14ac:dyDescent="0.35">
      <c r="B150" s="79"/>
      <c r="C150" s="80"/>
      <c r="D150" s="81"/>
      <c r="E150" s="91"/>
      <c r="F150" s="83"/>
      <c r="G150" s="82"/>
      <c r="H150" s="32"/>
      <c r="I150" s="32"/>
      <c r="J150" s="87"/>
    </row>
    <row r="151" spans="2:10" ht="38.1" customHeight="1" x14ac:dyDescent="0.35">
      <c r="B151" s="79"/>
      <c r="C151" s="80"/>
      <c r="D151" s="81"/>
      <c r="E151" s="91"/>
      <c r="F151" s="83"/>
      <c r="G151" s="82"/>
      <c r="H151" s="32"/>
      <c r="I151" s="32"/>
      <c r="J151" s="87"/>
    </row>
    <row r="152" spans="2:10" ht="38.1" customHeight="1" x14ac:dyDescent="0.35">
      <c r="B152" s="79"/>
      <c r="C152" s="80"/>
      <c r="D152" s="81"/>
      <c r="E152" s="91"/>
      <c r="F152" s="83"/>
      <c r="G152" s="82"/>
      <c r="H152" s="32"/>
      <c r="I152" s="32"/>
      <c r="J152" s="87"/>
    </row>
    <row r="153" spans="2:10" ht="38.1" customHeight="1" x14ac:dyDescent="0.35">
      <c r="B153" s="79"/>
      <c r="C153" s="80"/>
      <c r="D153" s="81"/>
      <c r="E153" s="91"/>
      <c r="F153" s="83"/>
      <c r="G153" s="82"/>
      <c r="H153" s="32"/>
      <c r="I153" s="32"/>
      <c r="J153" s="87"/>
    </row>
    <row r="154" spans="2:10" ht="38.1" customHeight="1" x14ac:dyDescent="0.35">
      <c r="B154" s="79"/>
      <c r="C154" s="80"/>
      <c r="D154" s="81"/>
      <c r="E154" s="91"/>
      <c r="F154" s="83"/>
      <c r="G154" s="82"/>
      <c r="H154" s="32"/>
      <c r="I154" s="32"/>
      <c r="J154" s="87"/>
    </row>
    <row r="155" spans="2:10" ht="38.1" customHeight="1" x14ac:dyDescent="0.35">
      <c r="B155" s="79"/>
      <c r="C155" s="80"/>
      <c r="D155" s="81"/>
      <c r="E155" s="91"/>
      <c r="F155" s="83"/>
      <c r="G155" s="82"/>
      <c r="H155" s="32"/>
      <c r="I155" s="32"/>
      <c r="J155" s="87"/>
    </row>
    <row r="156" spans="2:10" ht="38.1" customHeight="1" x14ac:dyDescent="0.35">
      <c r="B156" s="79"/>
      <c r="C156" s="80"/>
      <c r="D156" s="81"/>
      <c r="E156" s="91"/>
      <c r="F156" s="83"/>
      <c r="G156" s="82"/>
      <c r="H156" s="32"/>
      <c r="I156" s="32"/>
      <c r="J156" s="87"/>
    </row>
    <row r="157" spans="2:10" ht="38.1" customHeight="1" x14ac:dyDescent="0.35">
      <c r="B157" s="79"/>
      <c r="C157" s="80"/>
      <c r="D157" s="81"/>
      <c r="E157" s="91"/>
      <c r="F157" s="83"/>
      <c r="G157" s="82"/>
      <c r="H157" s="32"/>
      <c r="I157" s="32"/>
      <c r="J157" s="87"/>
    </row>
    <row r="158" spans="2:10" ht="38.1" customHeight="1" x14ac:dyDescent="0.35">
      <c r="B158" s="79"/>
      <c r="C158" s="80"/>
      <c r="D158" s="81"/>
      <c r="E158" s="91"/>
      <c r="F158" s="83"/>
      <c r="G158" s="82"/>
      <c r="H158" s="32"/>
      <c r="I158" s="32"/>
      <c r="J158" s="87"/>
    </row>
    <row r="159" spans="2:10" ht="38.1" customHeight="1" x14ac:dyDescent="0.35">
      <c r="B159" s="79"/>
      <c r="C159" s="80"/>
      <c r="D159" s="81"/>
      <c r="E159" s="91"/>
      <c r="F159" s="83"/>
      <c r="G159" s="82"/>
      <c r="H159" s="32"/>
      <c r="I159" s="32"/>
      <c r="J159" s="87"/>
    </row>
    <row r="160" spans="2:10" ht="38.1" customHeight="1" x14ac:dyDescent="0.35">
      <c r="B160" s="79"/>
      <c r="C160" s="80"/>
      <c r="D160" s="81"/>
      <c r="E160" s="91"/>
      <c r="F160" s="83"/>
      <c r="G160" s="82"/>
      <c r="H160" s="32"/>
      <c r="I160" s="32"/>
      <c r="J160" s="87"/>
    </row>
    <row r="161" spans="2:10" ht="38.1" customHeight="1" x14ac:dyDescent="0.35">
      <c r="B161" s="79"/>
      <c r="C161" s="80"/>
      <c r="D161" s="81"/>
      <c r="E161" s="91"/>
      <c r="F161" s="83"/>
      <c r="G161" s="82"/>
      <c r="H161" s="32"/>
      <c r="I161" s="32"/>
      <c r="J161" s="87"/>
    </row>
    <row r="162" spans="2:10" ht="38.1" customHeight="1" x14ac:dyDescent="0.35">
      <c r="B162" s="79"/>
      <c r="C162" s="80"/>
      <c r="D162" s="81"/>
      <c r="E162" s="91"/>
      <c r="F162" s="83"/>
      <c r="G162" s="82"/>
      <c r="H162" s="32"/>
      <c r="I162" s="32"/>
      <c r="J162" s="87"/>
    </row>
    <row r="163" spans="2:10" ht="38.1" customHeight="1" x14ac:dyDescent="0.35">
      <c r="B163" s="79"/>
      <c r="C163" s="80"/>
      <c r="D163" s="81"/>
      <c r="E163" s="91"/>
      <c r="F163" s="83"/>
      <c r="G163" s="82"/>
      <c r="H163" s="32"/>
      <c r="I163" s="32"/>
      <c r="J163" s="87"/>
    </row>
    <row r="164" spans="2:10" ht="38.1" customHeight="1" x14ac:dyDescent="0.35">
      <c r="B164" s="79"/>
      <c r="C164" s="80"/>
      <c r="D164" s="81"/>
      <c r="E164" s="91"/>
      <c r="F164" s="83"/>
      <c r="G164" s="82"/>
      <c r="H164" s="32"/>
      <c r="I164" s="32"/>
      <c r="J164" s="87"/>
    </row>
    <row r="165" spans="2:10" ht="38.1" customHeight="1" x14ac:dyDescent="0.35">
      <c r="B165" s="79"/>
      <c r="C165" s="80"/>
      <c r="D165" s="81"/>
      <c r="E165" s="91"/>
      <c r="F165" s="83"/>
      <c r="G165" s="82"/>
      <c r="H165" s="32"/>
      <c r="I165" s="32"/>
      <c r="J165" s="87"/>
    </row>
    <row r="166" spans="2:10" ht="38.1" customHeight="1" x14ac:dyDescent="0.35">
      <c r="B166" s="79"/>
      <c r="C166" s="80"/>
      <c r="D166" s="81"/>
      <c r="E166" s="91"/>
      <c r="F166" s="83"/>
      <c r="G166" s="82"/>
      <c r="H166" s="32"/>
      <c r="I166" s="32"/>
      <c r="J166" s="87"/>
    </row>
    <row r="167" spans="2:10" ht="38.1" customHeight="1" x14ac:dyDescent="0.35">
      <c r="B167" s="79"/>
      <c r="C167" s="80"/>
      <c r="D167" s="81"/>
      <c r="E167" s="91"/>
      <c r="F167" s="83"/>
      <c r="G167" s="82"/>
      <c r="H167" s="32"/>
      <c r="I167" s="32"/>
      <c r="J167" s="87"/>
    </row>
    <row r="168" spans="2:10" ht="38.1" customHeight="1" x14ac:dyDescent="0.35">
      <c r="B168" s="79"/>
      <c r="C168" s="80"/>
      <c r="D168" s="81"/>
      <c r="E168" s="91"/>
      <c r="F168" s="83"/>
      <c r="G168" s="82"/>
      <c r="H168" s="32"/>
      <c r="I168" s="32"/>
      <c r="J168" s="87"/>
    </row>
    <row r="169" spans="2:10" ht="38.1" customHeight="1" x14ac:dyDescent="0.35">
      <c r="B169" s="79"/>
      <c r="C169" s="80"/>
      <c r="D169" s="81"/>
      <c r="E169" s="91"/>
      <c r="F169" s="83"/>
      <c r="G169" s="82"/>
      <c r="H169" s="32"/>
      <c r="I169" s="32"/>
      <c r="J169" s="87"/>
    </row>
    <row r="170" spans="2:10" ht="38.1" customHeight="1" x14ac:dyDescent="0.35">
      <c r="B170" s="79"/>
      <c r="C170" s="80"/>
      <c r="D170" s="81"/>
      <c r="E170" s="91"/>
      <c r="F170" s="83"/>
      <c r="G170" s="82"/>
      <c r="H170" s="32"/>
      <c r="I170" s="32"/>
      <c r="J170" s="87"/>
    </row>
    <row r="171" spans="2:10" ht="38.1" customHeight="1" x14ac:dyDescent="0.35">
      <c r="B171" s="79"/>
      <c r="C171" s="80"/>
      <c r="D171" s="81"/>
      <c r="E171" s="74"/>
      <c r="F171" s="73"/>
      <c r="G171" s="74"/>
      <c r="H171" s="74"/>
      <c r="I171" s="74"/>
      <c r="J171" s="87"/>
    </row>
    <row r="172" spans="2:10" ht="38.1" customHeight="1" x14ac:dyDescent="0.35">
      <c r="B172" s="79"/>
      <c r="C172" s="80"/>
      <c r="D172" s="81"/>
      <c r="E172" s="91"/>
      <c r="F172" s="83"/>
      <c r="G172" s="82"/>
      <c r="H172" s="32"/>
      <c r="I172" s="32"/>
      <c r="J172" s="87"/>
    </row>
    <row r="173" spans="2:10" ht="38.1" customHeight="1" x14ac:dyDescent="0.35">
      <c r="B173" s="79"/>
      <c r="C173" s="80"/>
      <c r="D173" s="81"/>
      <c r="E173" s="91"/>
      <c r="F173" s="83"/>
      <c r="G173" s="82"/>
      <c r="H173" s="32"/>
      <c r="I173" s="32"/>
      <c r="J173" s="87"/>
    </row>
    <row r="174" spans="2:10" ht="38.1" customHeight="1" x14ac:dyDescent="0.35">
      <c r="B174" s="79"/>
      <c r="C174" s="80"/>
      <c r="D174" s="81"/>
      <c r="E174" s="91"/>
      <c r="F174" s="83"/>
      <c r="G174" s="82"/>
      <c r="H174" s="32"/>
      <c r="I174" s="32"/>
      <c r="J174" s="87"/>
    </row>
    <row r="175" spans="2:10" ht="38.1" customHeight="1" x14ac:dyDescent="0.35">
      <c r="B175" s="79"/>
      <c r="C175" s="80"/>
      <c r="D175" s="81"/>
      <c r="E175" s="91"/>
      <c r="F175" s="83"/>
      <c r="G175" s="82"/>
      <c r="H175" s="32"/>
      <c r="I175" s="32"/>
      <c r="J175" s="87"/>
    </row>
    <row r="176" spans="2:10" ht="38.1" customHeight="1" x14ac:dyDescent="0.35">
      <c r="B176" s="79"/>
      <c r="C176" s="80"/>
      <c r="D176" s="81"/>
      <c r="E176" s="91"/>
      <c r="F176" s="83"/>
      <c r="G176" s="82"/>
      <c r="H176" s="32"/>
      <c r="I176" s="32"/>
      <c r="J176" s="87"/>
    </row>
    <row r="177" spans="2:10" ht="38.1" customHeight="1" x14ac:dyDescent="0.35">
      <c r="B177" s="79"/>
      <c r="C177" s="80"/>
      <c r="D177" s="81"/>
      <c r="E177" s="91"/>
      <c r="F177" s="83"/>
      <c r="G177" s="82"/>
      <c r="H177" s="32"/>
      <c r="I177" s="32"/>
      <c r="J177" s="87"/>
    </row>
    <row r="178" spans="2:10" ht="38.1" customHeight="1" x14ac:dyDescent="0.35">
      <c r="B178" s="79"/>
      <c r="C178" s="80"/>
      <c r="D178" s="81"/>
      <c r="E178" s="91"/>
      <c r="F178" s="83"/>
      <c r="G178" s="82"/>
      <c r="H178" s="32"/>
      <c r="I178" s="32"/>
      <c r="J178" s="87"/>
    </row>
    <row r="179" spans="2:10" ht="38.1" customHeight="1" x14ac:dyDescent="0.35">
      <c r="B179" s="79"/>
      <c r="C179" s="80"/>
      <c r="D179" s="81"/>
      <c r="E179" s="91"/>
      <c r="F179" s="83"/>
      <c r="G179" s="82"/>
      <c r="H179" s="32"/>
      <c r="I179" s="32"/>
      <c r="J179" s="87"/>
    </row>
    <row r="180" spans="2:10" ht="38.1" customHeight="1" x14ac:dyDescent="0.35">
      <c r="B180" s="79"/>
      <c r="C180" s="80"/>
      <c r="D180" s="81"/>
      <c r="E180" s="91"/>
      <c r="F180" s="83"/>
      <c r="G180" s="82"/>
      <c r="H180" s="32"/>
      <c r="I180" s="32"/>
      <c r="J180" s="87"/>
    </row>
    <row r="181" spans="2:10" ht="38.1" customHeight="1" x14ac:dyDescent="0.35">
      <c r="B181" s="79"/>
      <c r="C181" s="80"/>
      <c r="D181" s="31"/>
      <c r="E181" s="91"/>
      <c r="F181" s="83"/>
      <c r="G181" s="94"/>
      <c r="H181" s="32"/>
      <c r="I181" s="32"/>
      <c r="J181" s="87"/>
    </row>
    <row r="182" spans="2:10" ht="38.1" customHeight="1" x14ac:dyDescent="0.35">
      <c r="B182" s="79"/>
      <c r="C182" s="80"/>
      <c r="D182" s="31"/>
      <c r="E182" s="91"/>
      <c r="F182" s="83"/>
      <c r="G182" s="94"/>
      <c r="H182" s="32"/>
      <c r="I182" s="32"/>
      <c r="J182" s="87"/>
    </row>
    <row r="183" spans="2:10" ht="38.1" customHeight="1" x14ac:dyDescent="0.35">
      <c r="B183" s="79"/>
      <c r="C183" s="80"/>
      <c r="D183" s="81"/>
      <c r="E183" s="91"/>
      <c r="F183" s="83"/>
      <c r="G183" s="94"/>
      <c r="H183" s="32"/>
      <c r="I183" s="32"/>
      <c r="J183" s="87"/>
    </row>
    <row r="184" spans="2:10" ht="38.1" customHeight="1" x14ac:dyDescent="0.35">
      <c r="B184" s="79"/>
      <c r="C184" s="80"/>
      <c r="D184" s="81"/>
      <c r="E184" s="91"/>
      <c r="F184" s="83"/>
      <c r="G184" s="94"/>
      <c r="H184" s="32"/>
      <c r="I184" s="32"/>
      <c r="J184" s="87"/>
    </row>
    <row r="185" spans="2:10" ht="38.1" customHeight="1" x14ac:dyDescent="0.35">
      <c r="B185" s="79"/>
      <c r="C185" s="80"/>
      <c r="D185" s="81"/>
      <c r="E185" s="91"/>
      <c r="F185" s="83"/>
      <c r="G185" s="94"/>
      <c r="H185" s="32"/>
      <c r="I185" s="32"/>
      <c r="J185" s="87"/>
    </row>
    <row r="186" spans="2:10" ht="38.1" customHeight="1" x14ac:dyDescent="0.35">
      <c r="B186" s="79"/>
      <c r="C186" s="80"/>
      <c r="D186" s="81"/>
      <c r="E186" s="91"/>
      <c r="F186" s="83"/>
      <c r="G186" s="94"/>
      <c r="H186" s="32"/>
      <c r="I186" s="32"/>
      <c r="J186" s="87"/>
    </row>
    <row r="187" spans="2:10" ht="38.1" customHeight="1" x14ac:dyDescent="0.35">
      <c r="B187" s="79"/>
      <c r="C187" s="80"/>
      <c r="D187" s="81"/>
      <c r="E187" s="91"/>
      <c r="F187" s="83"/>
      <c r="G187" s="94"/>
      <c r="H187" s="32"/>
      <c r="I187" s="32"/>
      <c r="J187" s="87"/>
    </row>
    <row r="188" spans="2:10" ht="38.1" customHeight="1" x14ac:dyDescent="0.35">
      <c r="B188" s="79"/>
      <c r="C188" s="80"/>
      <c r="D188" s="31"/>
      <c r="E188" s="91"/>
      <c r="F188" s="83"/>
      <c r="G188" s="94"/>
      <c r="H188" s="32"/>
      <c r="I188" s="32"/>
      <c r="J188" s="87"/>
    </row>
    <row r="189" spans="2:10" ht="38.1" customHeight="1" x14ac:dyDescent="0.35">
      <c r="B189" s="79"/>
      <c r="C189" s="80"/>
      <c r="D189" s="31"/>
      <c r="E189" s="91"/>
      <c r="F189" s="83"/>
      <c r="G189" s="94"/>
      <c r="H189" s="32"/>
      <c r="I189" s="32"/>
      <c r="J189" s="87"/>
    </row>
    <row r="190" spans="2:10" ht="38.1" customHeight="1" x14ac:dyDescent="0.35">
      <c r="B190" s="79"/>
      <c r="C190" s="80"/>
      <c r="D190" s="31"/>
      <c r="E190" s="91"/>
      <c r="F190" s="83"/>
      <c r="G190" s="94"/>
      <c r="H190" s="32"/>
      <c r="I190" s="32"/>
      <c r="J190" s="87"/>
    </row>
    <row r="191" spans="2:10" ht="38.1" customHeight="1" x14ac:dyDescent="0.35">
      <c r="B191" s="79"/>
      <c r="C191" s="80"/>
      <c r="D191" s="31"/>
      <c r="E191" s="91"/>
      <c r="F191" s="83"/>
      <c r="G191" s="94"/>
      <c r="H191" s="32"/>
      <c r="I191" s="32"/>
      <c r="J191" s="87"/>
    </row>
    <row r="192" spans="2:10" ht="38.1" customHeight="1" x14ac:dyDescent="0.35">
      <c r="B192" s="79"/>
      <c r="C192" s="80"/>
      <c r="D192" s="31"/>
      <c r="E192" s="91"/>
      <c r="F192" s="83"/>
      <c r="G192" s="94"/>
      <c r="H192" s="32"/>
      <c r="I192" s="32"/>
      <c r="J192" s="87"/>
    </row>
    <row r="193" spans="2:10" ht="38.1" customHeight="1" x14ac:dyDescent="0.35">
      <c r="B193" s="79"/>
      <c r="C193" s="80"/>
      <c r="D193" s="81"/>
      <c r="E193" s="91"/>
      <c r="F193" s="83"/>
      <c r="G193" s="94"/>
      <c r="H193" s="32"/>
      <c r="I193" s="32"/>
      <c r="J193" s="87"/>
    </row>
    <row r="194" spans="2:10" ht="38.1" customHeight="1" x14ac:dyDescent="0.35">
      <c r="B194" s="79"/>
      <c r="C194" s="80"/>
      <c r="D194" s="81"/>
      <c r="E194" s="91"/>
      <c r="F194" s="83"/>
      <c r="G194" s="94"/>
      <c r="H194" s="32"/>
      <c r="I194" s="32"/>
      <c r="J194" s="87"/>
    </row>
    <row r="195" spans="2:10" ht="38.1" customHeight="1" x14ac:dyDescent="0.35">
      <c r="B195" s="79"/>
      <c r="C195" s="80"/>
      <c r="D195" s="81"/>
      <c r="E195" s="91"/>
      <c r="F195" s="83"/>
      <c r="G195" s="94"/>
      <c r="H195" s="32"/>
      <c r="I195" s="32"/>
      <c r="J195" s="87"/>
    </row>
    <row r="196" spans="2:10" ht="38.1" customHeight="1" x14ac:dyDescent="0.35">
      <c r="B196" s="79"/>
      <c r="C196" s="80"/>
      <c r="D196" s="81"/>
      <c r="E196" s="91"/>
      <c r="F196" s="83"/>
      <c r="G196" s="94"/>
      <c r="H196" s="32"/>
      <c r="I196" s="32"/>
      <c r="J196" s="87"/>
    </row>
    <row r="197" spans="2:10" ht="38.1" customHeight="1" x14ac:dyDescent="0.35">
      <c r="B197" s="79"/>
      <c r="C197" s="80"/>
      <c r="D197" s="81"/>
      <c r="E197" s="91"/>
      <c r="F197" s="83"/>
      <c r="G197" s="94"/>
      <c r="H197" s="32"/>
      <c r="I197" s="32"/>
      <c r="J197" s="87"/>
    </row>
    <row r="198" spans="2:10" ht="38.1" customHeight="1" x14ac:dyDescent="0.35">
      <c r="B198" s="79"/>
      <c r="C198" s="80"/>
      <c r="D198" s="81"/>
      <c r="E198" s="74"/>
      <c r="F198" s="73"/>
      <c r="G198" s="112"/>
      <c r="H198" s="74"/>
      <c r="I198" s="32"/>
      <c r="J198" s="87"/>
    </row>
    <row r="199" spans="2:10" ht="38.1" customHeight="1" x14ac:dyDescent="0.35">
      <c r="B199" s="79"/>
      <c r="C199" s="80"/>
      <c r="D199" s="81"/>
      <c r="E199" s="99"/>
      <c r="F199" s="111"/>
      <c r="G199" s="94"/>
      <c r="H199" s="99"/>
      <c r="I199" s="32"/>
      <c r="J199" s="87"/>
    </row>
    <row r="200" spans="2:10" ht="38.1" customHeight="1" x14ac:dyDescent="0.35">
      <c r="B200" s="79"/>
      <c r="C200" s="80"/>
      <c r="D200" s="81"/>
      <c r="E200" s="99"/>
      <c r="F200" s="111"/>
      <c r="G200" s="94"/>
      <c r="H200" s="99"/>
      <c r="I200" s="32"/>
      <c r="J200" s="87"/>
    </row>
    <row r="201" spans="2:10" ht="38.1" customHeight="1" x14ac:dyDescent="0.35">
      <c r="B201" s="79"/>
      <c r="C201" s="80"/>
      <c r="D201" s="31"/>
      <c r="E201" s="99"/>
      <c r="F201" s="111"/>
      <c r="G201" s="94"/>
      <c r="H201" s="99"/>
      <c r="I201" s="32"/>
      <c r="J201" s="87"/>
    </row>
    <row r="202" spans="2:10" ht="38.1" customHeight="1" x14ac:dyDescent="0.35">
      <c r="B202" s="79"/>
      <c r="C202" s="80"/>
      <c r="D202" s="31"/>
      <c r="E202" s="99"/>
      <c r="F202" s="111"/>
      <c r="G202" s="94"/>
      <c r="H202" s="99"/>
      <c r="I202" s="32"/>
      <c r="J202" s="87"/>
    </row>
    <row r="203" spans="2:10" ht="38.1" customHeight="1" x14ac:dyDescent="0.35">
      <c r="B203" s="79"/>
      <c r="C203" s="80"/>
      <c r="D203" s="81"/>
      <c r="E203" s="99"/>
      <c r="F203" s="111"/>
      <c r="G203" s="94"/>
      <c r="H203" s="99"/>
      <c r="I203" s="32"/>
      <c r="J203" s="87"/>
    </row>
    <row r="204" spans="2:10" ht="38.1" customHeight="1" x14ac:dyDescent="0.35">
      <c r="B204" s="79"/>
      <c r="C204" s="80"/>
      <c r="D204" s="81"/>
      <c r="E204" s="99"/>
      <c r="F204" s="111"/>
      <c r="G204" s="94"/>
      <c r="H204" s="99"/>
      <c r="I204" s="32"/>
      <c r="J204" s="87"/>
    </row>
    <row r="205" spans="2:10" ht="38.1" customHeight="1" x14ac:dyDescent="0.35">
      <c r="B205" s="79"/>
      <c r="C205" s="80"/>
      <c r="D205" s="81"/>
      <c r="E205" s="99"/>
      <c r="F205" s="111"/>
      <c r="G205" s="94"/>
      <c r="H205" s="99"/>
      <c r="I205" s="32"/>
      <c r="J205" s="87"/>
    </row>
    <row r="206" spans="2:10" ht="38.1" customHeight="1" x14ac:dyDescent="0.35">
      <c r="B206" s="79"/>
      <c r="C206" s="80"/>
      <c r="D206" s="81"/>
      <c r="E206" s="99"/>
      <c r="F206" s="111"/>
      <c r="G206" s="94"/>
      <c r="H206" s="99"/>
      <c r="I206" s="32"/>
      <c r="J206" s="87"/>
    </row>
    <row r="207" spans="2:10" ht="38.1" customHeight="1" x14ac:dyDescent="0.35">
      <c r="B207" s="79"/>
      <c r="C207" s="80"/>
      <c r="D207" s="81"/>
      <c r="E207" s="99"/>
      <c r="F207" s="111"/>
      <c r="G207" s="94"/>
      <c r="H207" s="99"/>
      <c r="I207" s="32"/>
      <c r="J207" s="87"/>
    </row>
    <row r="208" spans="2:10" ht="38.1" customHeight="1" x14ac:dyDescent="0.35">
      <c r="B208" s="79"/>
      <c r="C208" s="80"/>
      <c r="D208" s="81"/>
      <c r="E208" s="99"/>
      <c r="F208" s="111"/>
      <c r="G208" s="94"/>
      <c r="H208" s="99"/>
      <c r="I208" s="32"/>
      <c r="J208" s="87"/>
    </row>
    <row r="209" spans="2:10" ht="38.1" customHeight="1" x14ac:dyDescent="0.35">
      <c r="B209" s="79"/>
      <c r="C209" s="80"/>
      <c r="D209" s="81"/>
      <c r="E209" s="99"/>
      <c r="F209" s="111"/>
      <c r="G209" s="94"/>
      <c r="H209" s="99"/>
      <c r="I209" s="32"/>
      <c r="J209" s="87"/>
    </row>
    <row r="210" spans="2:10" ht="38.1" customHeight="1" x14ac:dyDescent="0.35">
      <c r="B210" s="79"/>
      <c r="C210" s="80"/>
      <c r="D210" s="81"/>
      <c r="E210" s="99"/>
      <c r="F210" s="111"/>
      <c r="G210" s="94"/>
      <c r="H210" s="99"/>
      <c r="I210" s="32"/>
      <c r="J210" s="87"/>
    </row>
    <row r="211" spans="2:10" ht="38.1" customHeight="1" x14ac:dyDescent="0.35">
      <c r="B211" s="79"/>
      <c r="C211" s="80"/>
      <c r="D211" s="81"/>
      <c r="E211" s="91"/>
      <c r="F211" s="83"/>
      <c r="G211" s="82"/>
      <c r="H211" s="32"/>
      <c r="I211" s="32"/>
      <c r="J211" s="87"/>
    </row>
    <row r="212" spans="2:10" ht="38.1" customHeight="1" x14ac:dyDescent="0.35">
      <c r="B212" s="113"/>
      <c r="C212" s="114"/>
      <c r="D212" s="113"/>
      <c r="E212" s="115"/>
      <c r="F212" s="116"/>
      <c r="G212" s="115"/>
      <c r="H212" s="115"/>
      <c r="I212" s="115"/>
      <c r="J212" s="117"/>
    </row>
    <row r="213" spans="2:10" ht="38.1" customHeight="1" x14ac:dyDescent="0.35">
      <c r="B213" s="79"/>
      <c r="C213" s="80"/>
      <c r="D213" s="81"/>
      <c r="E213" s="91"/>
      <c r="F213" s="83"/>
      <c r="G213" s="82"/>
      <c r="H213" s="32"/>
      <c r="I213" s="32"/>
      <c r="J213" s="87"/>
    </row>
    <row r="214" spans="2:10" ht="38.1" customHeight="1" x14ac:dyDescent="0.35">
      <c r="B214" s="79"/>
      <c r="C214" s="80"/>
      <c r="D214" s="81"/>
      <c r="E214" s="91"/>
      <c r="F214" s="83"/>
      <c r="G214" s="82"/>
      <c r="H214" s="32"/>
      <c r="I214" s="32"/>
      <c r="J214" s="87"/>
    </row>
    <row r="215" spans="2:10" ht="38.1" customHeight="1" x14ac:dyDescent="0.35">
      <c r="B215" s="79"/>
      <c r="C215" s="80"/>
      <c r="D215" s="31"/>
      <c r="E215" s="91"/>
      <c r="F215" s="83"/>
      <c r="G215" s="82"/>
      <c r="H215" s="32"/>
      <c r="I215" s="32"/>
      <c r="J215" s="87"/>
    </row>
    <row r="216" spans="2:10" ht="38.1" customHeight="1" x14ac:dyDescent="0.35">
      <c r="B216" s="79"/>
      <c r="C216" s="80"/>
      <c r="D216" s="81"/>
      <c r="E216" s="91"/>
      <c r="F216" s="83"/>
      <c r="G216" s="82"/>
      <c r="H216" s="32"/>
      <c r="I216" s="32"/>
      <c r="J216" s="87"/>
    </row>
    <row r="217" spans="2:10" ht="38.1" customHeight="1" x14ac:dyDescent="0.35">
      <c r="B217" s="79"/>
      <c r="C217" s="80"/>
      <c r="D217" s="31"/>
      <c r="E217" s="91"/>
      <c r="F217" s="83"/>
      <c r="G217" s="82"/>
      <c r="H217" s="32"/>
      <c r="I217" s="32"/>
      <c r="J217" s="87"/>
    </row>
    <row r="218" spans="2:10" ht="38.1" customHeight="1" x14ac:dyDescent="0.35">
      <c r="B218" s="79"/>
      <c r="C218" s="80"/>
      <c r="D218" s="31"/>
      <c r="E218" s="91"/>
      <c r="F218" s="83"/>
      <c r="G218" s="82"/>
      <c r="H218" s="32"/>
      <c r="I218" s="32"/>
      <c r="J218" s="87"/>
    </row>
    <row r="219" spans="2:10" ht="38.1" customHeight="1" x14ac:dyDescent="0.35">
      <c r="B219" s="79"/>
      <c r="C219" s="80"/>
      <c r="D219" s="31"/>
      <c r="E219" s="91"/>
      <c r="F219" s="83"/>
      <c r="G219" s="82"/>
      <c r="H219" s="82"/>
      <c r="I219" s="32"/>
      <c r="J219" s="87"/>
    </row>
    <row r="220" spans="2:10" ht="38.1" customHeight="1" x14ac:dyDescent="0.35">
      <c r="B220" s="79"/>
      <c r="C220" s="80"/>
      <c r="D220" s="81"/>
      <c r="E220" s="94"/>
      <c r="F220" s="83"/>
      <c r="G220" s="82"/>
      <c r="H220" s="82"/>
      <c r="I220" s="82"/>
      <c r="J220" s="87"/>
    </row>
    <row r="221" spans="2:10" ht="30" customHeight="1" x14ac:dyDescent="0.35">
      <c r="B221" s="108"/>
      <c r="C221" s="109"/>
      <c r="D221" s="108"/>
      <c r="E221" s="110"/>
      <c r="F221" s="73"/>
      <c r="G221" s="110"/>
      <c r="H221" s="110"/>
      <c r="I221" s="74"/>
      <c r="J221" s="87"/>
    </row>
  </sheetData>
  <mergeCells count="3">
    <mergeCell ref="B3:F3"/>
    <mergeCell ref="G3:J3"/>
    <mergeCell ref="B2:J2"/>
  </mergeCells>
  <dataValidations count="13">
    <dataValidation allowBlank="1" showInputMessage="1" showErrorMessage="1" prompt="Create Itemized Expenses in this worksheet. Enter details in Itemized Expenses table. Navigation links in cells B1 and C1 go to Previous and Next worksheet" sqref="A1" xr:uid="{00000000-0002-0000-0200-000000000000}"/>
    <dataValidation allowBlank="1" showInputMessage="1" showErrorMessage="1" prompt="Enter General Ledger code in this column under this heading" sqref="B4" xr:uid="{00000000-0002-0000-0200-000001000000}"/>
    <dataValidation allowBlank="1" showInputMessage="1" showErrorMessage="1" prompt="Enter Invoice Date in this column under this heading" sqref="C4" xr:uid="{00000000-0002-0000-0200-000002000000}"/>
    <dataValidation allowBlank="1" showInputMessage="1" showErrorMessage="1" prompt="Enter Invoice number in this column under this heading" sqref="D4" xr:uid="{00000000-0002-0000-0200-000003000000}"/>
    <dataValidation allowBlank="1" showInputMessage="1" showErrorMessage="1" prompt="Enter Requested by name in this column under this heading" sqref="E4" xr:uid="{00000000-0002-0000-0200-000004000000}"/>
    <dataValidation allowBlank="1" showInputMessage="1" showErrorMessage="1" prompt="Enter Check Amount in this column under this heading" sqref="F4" xr:uid="{00000000-0002-0000-0200-000005000000}"/>
    <dataValidation allowBlank="1" showInputMessage="1" showErrorMessage="1" prompt="Enter Payee name in this column under this heading" sqref="G4" xr:uid="{00000000-0002-0000-0200-000006000000}"/>
    <dataValidation allowBlank="1" showInputMessage="1" showErrorMessage="1" prompt="Enter Check Use purpose in this column under this heading" sqref="H4" xr:uid="{00000000-0002-0000-0200-000007000000}"/>
    <dataValidation allowBlank="1" showInputMessage="1" showErrorMessage="1" prompt="Enter Method of Distribution in this column under this heading" sqref="I4" xr:uid="{00000000-0002-0000-0200-000008000000}"/>
    <dataValidation allowBlank="1" showInputMessage="1" showErrorMessage="1" prompt="Enter File Date in this column under this heading" sqref="J4" xr:uid="{00000000-0002-0000-0200-000009000000}"/>
    <dataValidation allowBlank="1" showInputMessage="1" showErrorMessage="1" prompt="Title of this worksheet is in this cell. Slicer to filter table by Requested By is in cell B3 and a slicer to filter table by Payee is in cell G3" sqref="B2:J2" xr:uid="{00000000-0002-0000-0200-00000A000000}"/>
    <dataValidation allowBlank="1" showInputMessage="1" showErrorMessage="1" prompt="Navigation link. Select to go to MONTHLY EXPENSES SUMMARY" sqref="B1" xr:uid="{00000000-0002-0000-0200-00000B000000}"/>
    <dataValidation allowBlank="1" showInputMessage="1" showErrorMessage="1" prompt="Navigation link is in this cell. Select to go to CHARITABLES &amp; SPONSORSHIPS worksheet" sqref="C1" xr:uid="{00000000-0002-0000-0200-00000C000000}"/>
  </dataValidations>
  <printOptions horizontalCentered="1"/>
  <pageMargins left="0.4" right="0.4" top="0.4" bottom="0.6" header="0.3" footer="0.3"/>
  <pageSetup scale="7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35E38-4244-4BDB-92BE-16372975D6F2}">
  <sheetPr>
    <tabColor rgb="FF2F2F2F"/>
  </sheetPr>
  <dimension ref="A3:B49"/>
  <sheetViews>
    <sheetView topLeftCell="A37" workbookViewId="0">
      <selection activeCell="A47" sqref="A47"/>
    </sheetView>
  </sheetViews>
  <sheetFormatPr defaultRowHeight="17.25" x14ac:dyDescent="0.35"/>
  <cols>
    <col min="1" max="1" width="23.5" bestFit="1" customWidth="1"/>
    <col min="2" max="2" width="8.875" bestFit="1" customWidth="1"/>
  </cols>
  <sheetData>
    <row r="3" spans="1:2" ht="34.5" x14ac:dyDescent="0.35">
      <c r="A3" s="105" t="s">
        <v>160</v>
      </c>
      <c r="B3" t="s">
        <v>163</v>
      </c>
    </row>
    <row r="4" spans="1:2" x14ac:dyDescent="0.35">
      <c r="A4" s="106" t="s">
        <v>89</v>
      </c>
      <c r="B4" s="107">
        <v>-49.6</v>
      </c>
    </row>
    <row r="5" spans="1:2" x14ac:dyDescent="0.35">
      <c r="A5" s="106" t="s">
        <v>95</v>
      </c>
      <c r="B5" s="107">
        <v>1832</v>
      </c>
    </row>
    <row r="6" spans="1:2" x14ac:dyDescent="0.35">
      <c r="A6" s="106" t="s">
        <v>100</v>
      </c>
      <c r="B6" s="107">
        <v>-47.76</v>
      </c>
    </row>
    <row r="7" spans="1:2" x14ac:dyDescent="0.35">
      <c r="A7" s="106" t="s">
        <v>143</v>
      </c>
      <c r="B7" s="107">
        <v>-372.23</v>
      </c>
    </row>
    <row r="8" spans="1:2" x14ac:dyDescent="0.35">
      <c r="A8" s="106" t="s">
        <v>136</v>
      </c>
      <c r="B8" s="107">
        <v>-1152.9000000000001</v>
      </c>
    </row>
    <row r="9" spans="1:2" x14ac:dyDescent="0.35">
      <c r="A9" s="106" t="s">
        <v>144</v>
      </c>
      <c r="B9" s="107">
        <v>2547</v>
      </c>
    </row>
    <row r="10" spans="1:2" x14ac:dyDescent="0.35">
      <c r="A10" s="106" t="s">
        <v>154</v>
      </c>
      <c r="B10" s="107">
        <v>1307.0999999999999</v>
      </c>
    </row>
    <row r="11" spans="1:2" x14ac:dyDescent="0.35">
      <c r="A11" s="106" t="s">
        <v>147</v>
      </c>
      <c r="B11" s="107">
        <v>-51.21</v>
      </c>
    </row>
    <row r="12" spans="1:2" x14ac:dyDescent="0.35">
      <c r="A12" s="106" t="s">
        <v>130</v>
      </c>
      <c r="B12" s="107">
        <v>-301.03999999999996</v>
      </c>
    </row>
    <row r="13" spans="1:2" x14ac:dyDescent="0.35">
      <c r="A13" s="106" t="s">
        <v>146</v>
      </c>
      <c r="B13" s="107">
        <v>20</v>
      </c>
    </row>
    <row r="14" spans="1:2" x14ac:dyDescent="0.35">
      <c r="A14" s="106" t="s">
        <v>118</v>
      </c>
      <c r="B14" s="107">
        <v>1802.08</v>
      </c>
    </row>
    <row r="15" spans="1:2" ht="34.5" x14ac:dyDescent="0.35">
      <c r="A15" s="106" t="s">
        <v>115</v>
      </c>
      <c r="B15" s="107">
        <v>3424</v>
      </c>
    </row>
    <row r="16" spans="1:2" x14ac:dyDescent="0.35">
      <c r="A16" s="106" t="s">
        <v>101</v>
      </c>
      <c r="B16" s="107">
        <v>-1249.54</v>
      </c>
    </row>
    <row r="17" spans="1:2" x14ac:dyDescent="0.35">
      <c r="A17" s="106" t="s">
        <v>108</v>
      </c>
      <c r="B17" s="107">
        <v>-275</v>
      </c>
    </row>
    <row r="18" spans="1:2" x14ac:dyDescent="0.35">
      <c r="A18" s="106" t="s">
        <v>106</v>
      </c>
      <c r="B18" s="107">
        <v>-300</v>
      </c>
    </row>
    <row r="19" spans="1:2" x14ac:dyDescent="0.35">
      <c r="A19" s="106" t="s">
        <v>131</v>
      </c>
      <c r="B19" s="107">
        <v>-560.44000000000005</v>
      </c>
    </row>
    <row r="20" spans="1:2" x14ac:dyDescent="0.35">
      <c r="A20" s="106" t="s">
        <v>142</v>
      </c>
      <c r="B20" s="107">
        <v>-48.75</v>
      </c>
    </row>
    <row r="21" spans="1:2" x14ac:dyDescent="0.35">
      <c r="A21" s="106" t="s">
        <v>129</v>
      </c>
      <c r="B21" s="107">
        <v>-37</v>
      </c>
    </row>
    <row r="22" spans="1:2" x14ac:dyDescent="0.35">
      <c r="A22" s="106" t="s">
        <v>127</v>
      </c>
      <c r="B22" s="107">
        <v>-332.89</v>
      </c>
    </row>
    <row r="23" spans="1:2" x14ac:dyDescent="0.35">
      <c r="A23" s="106" t="s">
        <v>104</v>
      </c>
      <c r="B23" s="107">
        <v>-15.75</v>
      </c>
    </row>
    <row r="24" spans="1:2" x14ac:dyDescent="0.35">
      <c r="A24" s="106" t="s">
        <v>138</v>
      </c>
      <c r="B24" s="107">
        <v>-423</v>
      </c>
    </row>
    <row r="25" spans="1:2" x14ac:dyDescent="0.35">
      <c r="A25" s="106" t="s">
        <v>81</v>
      </c>
      <c r="B25" s="107">
        <v>-1784.5600000000002</v>
      </c>
    </row>
    <row r="26" spans="1:2" x14ac:dyDescent="0.35">
      <c r="A26" s="106" t="s">
        <v>124</v>
      </c>
      <c r="B26" s="107">
        <v>46.11</v>
      </c>
    </row>
    <row r="27" spans="1:2" x14ac:dyDescent="0.35">
      <c r="A27" s="106" t="s">
        <v>120</v>
      </c>
      <c r="B27" s="107">
        <v>605</v>
      </c>
    </row>
    <row r="28" spans="1:2" x14ac:dyDescent="0.35">
      <c r="A28" s="106" t="s">
        <v>128</v>
      </c>
      <c r="B28" s="107">
        <v>1031.3500000000001</v>
      </c>
    </row>
    <row r="29" spans="1:2" x14ac:dyDescent="0.35">
      <c r="A29" s="106" t="s">
        <v>103</v>
      </c>
      <c r="B29" s="107">
        <v>-253.48</v>
      </c>
    </row>
    <row r="30" spans="1:2" x14ac:dyDescent="0.35">
      <c r="A30" s="106" t="s">
        <v>92</v>
      </c>
      <c r="B30" s="107">
        <v>-450</v>
      </c>
    </row>
    <row r="31" spans="1:2" x14ac:dyDescent="0.35">
      <c r="A31" s="106" t="s">
        <v>132</v>
      </c>
      <c r="B31" s="107">
        <v>-125.59</v>
      </c>
    </row>
    <row r="32" spans="1:2" x14ac:dyDescent="0.35">
      <c r="A32" s="106" t="s">
        <v>107</v>
      </c>
      <c r="B32" s="107">
        <v>-581.66999999999996</v>
      </c>
    </row>
    <row r="33" spans="1:2" x14ac:dyDescent="0.35">
      <c r="A33" s="106" t="s">
        <v>122</v>
      </c>
      <c r="B33" s="107">
        <v>-512.05999999999995</v>
      </c>
    </row>
    <row r="34" spans="1:2" x14ac:dyDescent="0.35">
      <c r="A34" s="106" t="s">
        <v>141</v>
      </c>
      <c r="B34" s="107">
        <v>-135</v>
      </c>
    </row>
    <row r="35" spans="1:2" x14ac:dyDescent="0.35">
      <c r="A35" s="106" t="s">
        <v>97</v>
      </c>
      <c r="B35" s="107">
        <v>-13388.05</v>
      </c>
    </row>
    <row r="36" spans="1:2" ht="34.5" x14ac:dyDescent="0.35">
      <c r="A36" s="106" t="s">
        <v>140</v>
      </c>
      <c r="B36" s="107">
        <v>-100</v>
      </c>
    </row>
    <row r="37" spans="1:2" x14ac:dyDescent="0.35">
      <c r="A37" s="106" t="s">
        <v>155</v>
      </c>
      <c r="B37" s="107">
        <v>80.06</v>
      </c>
    </row>
    <row r="38" spans="1:2" x14ac:dyDescent="0.35">
      <c r="A38" s="106" t="s">
        <v>86</v>
      </c>
      <c r="B38" s="107">
        <v>10285.26</v>
      </c>
    </row>
    <row r="39" spans="1:2" x14ac:dyDescent="0.35">
      <c r="A39" s="106" t="s">
        <v>125</v>
      </c>
      <c r="B39" s="107">
        <v>-9962.9699999999993</v>
      </c>
    </row>
    <row r="40" spans="1:2" x14ac:dyDescent="0.35">
      <c r="A40" s="106" t="s">
        <v>153</v>
      </c>
      <c r="B40" s="107">
        <v>8.24</v>
      </c>
    </row>
    <row r="41" spans="1:2" x14ac:dyDescent="0.35">
      <c r="A41" s="106" t="s">
        <v>116</v>
      </c>
      <c r="B41" s="107">
        <v>64.209999999999994</v>
      </c>
    </row>
    <row r="42" spans="1:2" x14ac:dyDescent="0.35">
      <c r="A42" s="106" t="s">
        <v>123</v>
      </c>
      <c r="B42" s="107">
        <v>2610.75</v>
      </c>
    </row>
    <row r="43" spans="1:2" x14ac:dyDescent="0.35">
      <c r="A43" s="106" t="s">
        <v>121</v>
      </c>
      <c r="B43" s="107">
        <v>-908.59</v>
      </c>
    </row>
    <row r="44" spans="1:2" x14ac:dyDescent="0.35">
      <c r="A44" s="106" t="s">
        <v>117</v>
      </c>
      <c r="B44" s="107">
        <v>1387.53</v>
      </c>
    </row>
    <row r="45" spans="1:2" x14ac:dyDescent="0.35">
      <c r="A45" s="106" t="s">
        <v>148</v>
      </c>
      <c r="B45" s="107">
        <v>-86.32</v>
      </c>
    </row>
    <row r="46" spans="1:2" x14ac:dyDescent="0.35">
      <c r="A46" s="106" t="s">
        <v>99</v>
      </c>
      <c r="B46" s="107">
        <v>606</v>
      </c>
    </row>
    <row r="47" spans="1:2" x14ac:dyDescent="0.35">
      <c r="A47" s="106" t="s">
        <v>98</v>
      </c>
      <c r="B47" s="107">
        <v>-1096.2</v>
      </c>
    </row>
    <row r="48" spans="1:2" x14ac:dyDescent="0.35">
      <c r="A48" s="106" t="s">
        <v>161</v>
      </c>
      <c r="B48" s="107">
        <v>280.73</v>
      </c>
    </row>
    <row r="49" spans="1:2" x14ac:dyDescent="0.35">
      <c r="A49" s="106" t="s">
        <v>162</v>
      </c>
      <c r="B49" s="107">
        <v>-6664.1799999999985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09009-B722-4629-BC47-3159901500B0}">
  <sheetPr>
    <tabColor rgb="FF2F2F2F"/>
  </sheetPr>
  <dimension ref="A1:E75"/>
  <sheetViews>
    <sheetView topLeftCell="A71" workbookViewId="0">
      <selection sqref="A1:XFD1048576"/>
    </sheetView>
  </sheetViews>
  <sheetFormatPr defaultRowHeight="17.25" x14ac:dyDescent="0.35"/>
  <cols>
    <col min="4" max="4" width="11.125" bestFit="1" customWidth="1"/>
  </cols>
  <sheetData>
    <row r="1" spans="1:5" x14ac:dyDescent="0.35">
      <c r="A1" t="s">
        <v>156</v>
      </c>
      <c r="B1" t="s">
        <v>40</v>
      </c>
      <c r="C1" t="s">
        <v>157</v>
      </c>
      <c r="D1" t="s">
        <v>158</v>
      </c>
      <c r="E1" t="s">
        <v>159</v>
      </c>
    </row>
    <row r="2" spans="1:5" ht="34.5" x14ac:dyDescent="0.35">
      <c r="A2" s="97">
        <v>6000</v>
      </c>
      <c r="B2" s="98">
        <v>44570</v>
      </c>
      <c r="C2" s="99" t="s">
        <v>76</v>
      </c>
      <c r="D2" s="100">
        <v>1832</v>
      </c>
      <c r="E2" s="32" t="s">
        <v>95</v>
      </c>
    </row>
    <row r="3" spans="1:5" ht="51.75" x14ac:dyDescent="0.35">
      <c r="A3" s="97">
        <v>15400</v>
      </c>
      <c r="B3" s="101">
        <v>44570</v>
      </c>
      <c r="C3" s="102" t="s">
        <v>76</v>
      </c>
      <c r="D3" s="100">
        <v>606</v>
      </c>
      <c r="E3" s="32" t="s">
        <v>99</v>
      </c>
    </row>
    <row r="4" spans="1:5" ht="51.75" x14ac:dyDescent="0.35">
      <c r="A4" s="97">
        <v>14000</v>
      </c>
      <c r="B4" s="98">
        <v>44578</v>
      </c>
      <c r="C4" s="99" t="s">
        <v>72</v>
      </c>
      <c r="D4" s="100">
        <v>-47.76</v>
      </c>
      <c r="E4" s="32" t="s">
        <v>100</v>
      </c>
    </row>
    <row r="5" spans="1:5" ht="51.75" x14ac:dyDescent="0.35">
      <c r="A5" s="97">
        <v>7100</v>
      </c>
      <c r="B5" s="101">
        <v>44578</v>
      </c>
      <c r="C5" s="102" t="s">
        <v>72</v>
      </c>
      <c r="D5" s="100">
        <v>-31.46</v>
      </c>
      <c r="E5" s="32" t="s">
        <v>101</v>
      </c>
    </row>
    <row r="6" spans="1:5" ht="34.5" x14ac:dyDescent="0.35">
      <c r="A6" s="97">
        <v>14000</v>
      </c>
      <c r="B6" s="98">
        <v>44579</v>
      </c>
      <c r="C6" s="99" t="s">
        <v>102</v>
      </c>
      <c r="D6" s="100">
        <v>-253.48</v>
      </c>
      <c r="E6" s="32" t="s">
        <v>103</v>
      </c>
    </row>
    <row r="7" spans="1:5" ht="34.5" x14ac:dyDescent="0.35">
      <c r="A7" s="97">
        <v>4100</v>
      </c>
      <c r="B7" s="101">
        <v>44592</v>
      </c>
      <c r="C7" s="102" t="s">
        <v>94</v>
      </c>
      <c r="D7" s="100">
        <v>-15.75</v>
      </c>
      <c r="E7" s="32" t="s">
        <v>104</v>
      </c>
    </row>
    <row r="8" spans="1:5" ht="51.75" x14ac:dyDescent="0.35">
      <c r="A8" s="97">
        <v>7100</v>
      </c>
      <c r="B8" s="98">
        <v>44592</v>
      </c>
      <c r="C8" s="99" t="s">
        <v>73</v>
      </c>
      <c r="D8" s="100">
        <v>-462.54</v>
      </c>
      <c r="E8" s="32" t="s">
        <v>101</v>
      </c>
    </row>
    <row r="9" spans="1:5" x14ac:dyDescent="0.35">
      <c r="A9" s="97">
        <v>7100</v>
      </c>
      <c r="B9" s="101">
        <v>44592</v>
      </c>
      <c r="C9" s="102" t="s">
        <v>83</v>
      </c>
      <c r="D9" s="100">
        <v>-150</v>
      </c>
      <c r="E9" s="32" t="s">
        <v>92</v>
      </c>
    </row>
    <row r="10" spans="1:5" ht="51.75" x14ac:dyDescent="0.35">
      <c r="A10" s="97">
        <v>7100</v>
      </c>
      <c r="B10" s="98">
        <v>44593</v>
      </c>
      <c r="C10" s="99" t="s">
        <v>105</v>
      </c>
      <c r="D10" s="100">
        <v>-300</v>
      </c>
      <c r="E10" s="32" t="s">
        <v>106</v>
      </c>
    </row>
    <row r="11" spans="1:5" ht="51.75" x14ac:dyDescent="0.35">
      <c r="A11" s="97">
        <v>7100</v>
      </c>
      <c r="B11" s="101">
        <v>44598</v>
      </c>
      <c r="C11" s="102" t="s">
        <v>87</v>
      </c>
      <c r="D11" s="100">
        <v>-581.66999999999996</v>
      </c>
      <c r="E11" s="32" t="s">
        <v>107</v>
      </c>
    </row>
    <row r="12" spans="1:5" ht="69" x14ac:dyDescent="0.35">
      <c r="A12" s="97">
        <v>7100</v>
      </c>
      <c r="B12" s="98">
        <v>44598</v>
      </c>
      <c r="C12" s="99" t="s">
        <v>88</v>
      </c>
      <c r="D12" s="100">
        <v>-275</v>
      </c>
      <c r="E12" s="32" t="s">
        <v>108</v>
      </c>
    </row>
    <row r="13" spans="1:5" ht="34.5" x14ac:dyDescent="0.35">
      <c r="A13" s="97">
        <v>14000</v>
      </c>
      <c r="B13" s="101">
        <v>44625</v>
      </c>
      <c r="C13" s="102" t="s">
        <v>109</v>
      </c>
      <c r="D13" s="100">
        <v>-100</v>
      </c>
      <c r="E13" s="32" t="s">
        <v>98</v>
      </c>
    </row>
    <row r="14" spans="1:5" ht="34.5" x14ac:dyDescent="0.35">
      <c r="A14" s="97">
        <v>14000</v>
      </c>
      <c r="B14" s="98">
        <v>44625</v>
      </c>
      <c r="C14" s="99" t="s">
        <v>110</v>
      </c>
      <c r="D14" s="100">
        <v>-100</v>
      </c>
      <c r="E14" s="32" t="s">
        <v>98</v>
      </c>
    </row>
    <row r="15" spans="1:5" ht="34.5" x14ac:dyDescent="0.35">
      <c r="A15" s="97">
        <v>14000</v>
      </c>
      <c r="B15" s="101">
        <v>44625</v>
      </c>
      <c r="C15" s="102" t="s">
        <v>111</v>
      </c>
      <c r="D15" s="100">
        <v>-100</v>
      </c>
      <c r="E15" s="32" t="s">
        <v>98</v>
      </c>
    </row>
    <row r="16" spans="1:5" ht="34.5" x14ac:dyDescent="0.35">
      <c r="A16" s="97">
        <v>14000</v>
      </c>
      <c r="B16" s="98">
        <v>44625</v>
      </c>
      <c r="C16" s="99" t="s">
        <v>112</v>
      </c>
      <c r="D16" s="100">
        <v>-100</v>
      </c>
      <c r="E16" s="32" t="s">
        <v>98</v>
      </c>
    </row>
    <row r="17" spans="1:5" ht="34.5" x14ac:dyDescent="0.35">
      <c r="A17" s="97">
        <v>14000</v>
      </c>
      <c r="B17" s="101">
        <v>44625</v>
      </c>
      <c r="C17" s="102" t="s">
        <v>113</v>
      </c>
      <c r="D17" s="100">
        <v>-100</v>
      </c>
      <c r="E17" s="32" t="s">
        <v>98</v>
      </c>
    </row>
    <row r="18" spans="1:5" ht="34.5" x14ac:dyDescent="0.35">
      <c r="A18" s="97">
        <v>14000</v>
      </c>
      <c r="B18" s="98">
        <v>44625</v>
      </c>
      <c r="C18" s="99" t="s">
        <v>114</v>
      </c>
      <c r="D18" s="100">
        <v>-100</v>
      </c>
      <c r="E18" s="32" t="s">
        <v>98</v>
      </c>
    </row>
    <row r="19" spans="1:5" ht="51.75" x14ac:dyDescent="0.35">
      <c r="A19" s="97">
        <v>7100</v>
      </c>
      <c r="B19" s="101">
        <v>44602</v>
      </c>
      <c r="C19" s="102" t="s">
        <v>85</v>
      </c>
      <c r="D19" s="100">
        <v>-674.44</v>
      </c>
      <c r="E19" s="32" t="s">
        <v>101</v>
      </c>
    </row>
    <row r="20" spans="1:5" ht="51.75" x14ac:dyDescent="0.35">
      <c r="A20" s="97">
        <v>7100</v>
      </c>
      <c r="B20" s="98">
        <v>44625</v>
      </c>
      <c r="C20" s="99" t="s">
        <v>74</v>
      </c>
      <c r="D20" s="100">
        <v>-81.099999999999994</v>
      </c>
      <c r="E20" s="32" t="s">
        <v>101</v>
      </c>
    </row>
    <row r="21" spans="1:5" ht="69" x14ac:dyDescent="0.35">
      <c r="A21" s="97">
        <v>7000</v>
      </c>
      <c r="B21" s="101">
        <v>44601</v>
      </c>
      <c r="C21" s="102" t="s">
        <v>76</v>
      </c>
      <c r="D21" s="100">
        <v>3424</v>
      </c>
      <c r="E21" s="32" t="s">
        <v>115</v>
      </c>
    </row>
    <row r="22" spans="1:5" x14ac:dyDescent="0.35">
      <c r="A22" s="97">
        <v>12600</v>
      </c>
      <c r="B22" s="98">
        <v>44571</v>
      </c>
      <c r="C22" s="99" t="s">
        <v>76</v>
      </c>
      <c r="D22" s="100">
        <v>64.209999999999994</v>
      </c>
      <c r="E22" s="32" t="s">
        <v>116</v>
      </c>
    </row>
    <row r="23" spans="1:5" ht="34.5" x14ac:dyDescent="0.35">
      <c r="A23" s="97">
        <v>1000</v>
      </c>
      <c r="B23" s="101">
        <v>44574</v>
      </c>
      <c r="C23" s="102" t="s">
        <v>82</v>
      </c>
      <c r="D23" s="100">
        <v>919.89</v>
      </c>
      <c r="E23" s="32" t="s">
        <v>117</v>
      </c>
    </row>
    <row r="24" spans="1:5" ht="34.5" x14ac:dyDescent="0.35">
      <c r="A24" s="97">
        <v>1000</v>
      </c>
      <c r="B24" s="98">
        <v>44581</v>
      </c>
      <c r="C24" s="99" t="s">
        <v>82</v>
      </c>
      <c r="D24" s="100">
        <v>467.64</v>
      </c>
      <c r="E24" s="32" t="s">
        <v>117</v>
      </c>
    </row>
    <row r="25" spans="1:5" ht="51.75" x14ac:dyDescent="0.35">
      <c r="A25" s="97">
        <v>7000</v>
      </c>
      <c r="B25" s="101">
        <v>44588</v>
      </c>
      <c r="C25" s="102" t="s">
        <v>82</v>
      </c>
      <c r="D25" s="100">
        <v>431.71</v>
      </c>
      <c r="E25" s="32" t="s">
        <v>118</v>
      </c>
    </row>
    <row r="26" spans="1:5" ht="51.75" x14ac:dyDescent="0.35">
      <c r="A26" s="97">
        <v>7000</v>
      </c>
      <c r="B26" s="98">
        <v>44595</v>
      </c>
      <c r="C26" s="99" t="s">
        <v>82</v>
      </c>
      <c r="D26" s="100">
        <v>1358.37</v>
      </c>
      <c r="E26" s="32" t="s">
        <v>118</v>
      </c>
    </row>
    <row r="27" spans="1:5" ht="34.5" x14ac:dyDescent="0.35">
      <c r="A27" s="97">
        <v>12000</v>
      </c>
      <c r="B27" s="101">
        <v>44601</v>
      </c>
      <c r="C27" s="102" t="s">
        <v>45</v>
      </c>
      <c r="D27" s="100">
        <v>280.73</v>
      </c>
      <c r="E27" s="32"/>
    </row>
    <row r="28" spans="1:5" ht="51.75" x14ac:dyDescent="0.35">
      <c r="A28" s="97">
        <v>7000</v>
      </c>
      <c r="B28" s="98">
        <v>44616</v>
      </c>
      <c r="C28" s="99" t="s">
        <v>82</v>
      </c>
      <c r="D28" s="100">
        <v>12</v>
      </c>
      <c r="E28" s="32" t="s">
        <v>118</v>
      </c>
    </row>
    <row r="29" spans="1:5" x14ac:dyDescent="0.35">
      <c r="A29" s="97">
        <v>9100</v>
      </c>
      <c r="B29" s="101">
        <v>44629</v>
      </c>
      <c r="C29" s="102" t="s">
        <v>86</v>
      </c>
      <c r="D29" s="100">
        <v>-300</v>
      </c>
      <c r="E29" s="32" t="s">
        <v>92</v>
      </c>
    </row>
    <row r="30" spans="1:5" x14ac:dyDescent="0.35">
      <c r="A30" s="97">
        <v>9000</v>
      </c>
      <c r="B30" s="98">
        <v>44633</v>
      </c>
      <c r="C30" s="99" t="s">
        <v>76</v>
      </c>
      <c r="D30" s="100">
        <v>687.94</v>
      </c>
      <c r="E30" s="32" t="s">
        <v>86</v>
      </c>
    </row>
    <row r="31" spans="1:5" x14ac:dyDescent="0.35">
      <c r="A31" s="97">
        <v>9000</v>
      </c>
      <c r="B31" s="101">
        <v>44634</v>
      </c>
      <c r="C31" s="102" t="s">
        <v>76</v>
      </c>
      <c r="D31" s="100">
        <v>3688</v>
      </c>
      <c r="E31" s="32" t="s">
        <v>86</v>
      </c>
    </row>
    <row r="32" spans="1:5" x14ac:dyDescent="0.35">
      <c r="A32" s="97">
        <v>9000</v>
      </c>
      <c r="B32" s="98">
        <v>44635</v>
      </c>
      <c r="C32" s="99" t="s">
        <v>76</v>
      </c>
      <c r="D32" s="100">
        <v>2255.73</v>
      </c>
      <c r="E32" s="32" t="s">
        <v>86</v>
      </c>
    </row>
    <row r="33" spans="1:5" x14ac:dyDescent="0.35">
      <c r="A33" s="97">
        <v>9000</v>
      </c>
      <c r="B33" s="101">
        <v>44636</v>
      </c>
      <c r="C33" s="102" t="s">
        <v>76</v>
      </c>
      <c r="D33" s="100">
        <v>2527</v>
      </c>
      <c r="E33" s="32" t="s">
        <v>86</v>
      </c>
    </row>
    <row r="34" spans="1:5" x14ac:dyDescent="0.35">
      <c r="A34" s="97">
        <v>9000</v>
      </c>
      <c r="B34" s="98">
        <v>44637</v>
      </c>
      <c r="C34" s="99" t="s">
        <v>76</v>
      </c>
      <c r="D34" s="100">
        <v>1126.5899999999999</v>
      </c>
      <c r="E34" s="32" t="s">
        <v>86</v>
      </c>
    </row>
    <row r="35" spans="1:5" ht="51.75" x14ac:dyDescent="0.35">
      <c r="A35" s="97">
        <v>3000</v>
      </c>
      <c r="B35" s="101">
        <v>44637</v>
      </c>
      <c r="C35" s="102" t="s">
        <v>76</v>
      </c>
      <c r="D35" s="100">
        <v>605</v>
      </c>
      <c r="E35" s="32" t="s">
        <v>120</v>
      </c>
    </row>
    <row r="36" spans="1:5" ht="51.75" x14ac:dyDescent="0.35">
      <c r="A36" s="97">
        <v>10100</v>
      </c>
      <c r="B36" s="98">
        <v>44643</v>
      </c>
      <c r="C36" s="99" t="s">
        <v>80</v>
      </c>
      <c r="D36" s="100">
        <v>-908.59</v>
      </c>
      <c r="E36" s="32" t="s">
        <v>121</v>
      </c>
    </row>
    <row r="37" spans="1:5" ht="51.75" x14ac:dyDescent="0.35">
      <c r="A37" s="97">
        <v>10300</v>
      </c>
      <c r="B37" s="101">
        <v>44643</v>
      </c>
      <c r="C37" s="102" t="s">
        <v>80</v>
      </c>
      <c r="D37" s="100">
        <v>-45.79</v>
      </c>
      <c r="E37" s="32" t="s">
        <v>81</v>
      </c>
    </row>
    <row r="38" spans="1:5" ht="51.75" x14ac:dyDescent="0.35">
      <c r="A38" s="97">
        <v>10100</v>
      </c>
      <c r="B38" s="98">
        <v>44643</v>
      </c>
      <c r="C38" s="99" t="s">
        <v>87</v>
      </c>
      <c r="D38" s="100">
        <v>-512.05999999999995</v>
      </c>
      <c r="E38" s="32" t="s">
        <v>122</v>
      </c>
    </row>
    <row r="39" spans="1:5" ht="51.75" x14ac:dyDescent="0.35">
      <c r="A39" s="97">
        <v>10000</v>
      </c>
      <c r="B39" s="101">
        <v>44648</v>
      </c>
      <c r="C39" s="102" t="s">
        <v>76</v>
      </c>
      <c r="D39" s="100">
        <v>2610.75</v>
      </c>
      <c r="E39" s="32" t="s">
        <v>123</v>
      </c>
    </row>
    <row r="40" spans="1:5" ht="34.5" x14ac:dyDescent="0.35">
      <c r="A40" s="97">
        <v>11000</v>
      </c>
      <c r="B40" s="98">
        <v>44648</v>
      </c>
      <c r="C40" s="99" t="s">
        <v>76</v>
      </c>
      <c r="D40" s="100">
        <v>46.11</v>
      </c>
      <c r="E40" s="32" t="s">
        <v>124</v>
      </c>
    </row>
    <row r="41" spans="1:5" ht="51.75" x14ac:dyDescent="0.35">
      <c r="A41" s="97">
        <v>4100</v>
      </c>
      <c r="B41" s="101">
        <v>44648</v>
      </c>
      <c r="C41" s="102" t="s">
        <v>96</v>
      </c>
      <c r="D41" s="100">
        <v>-13388.05</v>
      </c>
      <c r="E41" s="32" t="s">
        <v>97</v>
      </c>
    </row>
    <row r="42" spans="1:5" ht="34.5" x14ac:dyDescent="0.35">
      <c r="A42" s="97">
        <v>9100</v>
      </c>
      <c r="B42" s="98">
        <v>44648</v>
      </c>
      <c r="C42" s="99" t="s">
        <v>86</v>
      </c>
      <c r="D42" s="100">
        <v>-9962.9699999999993</v>
      </c>
      <c r="E42" s="32" t="s">
        <v>125</v>
      </c>
    </row>
    <row r="43" spans="1:5" ht="51.75" x14ac:dyDescent="0.35">
      <c r="A43" s="97">
        <v>10300</v>
      </c>
      <c r="B43" s="101">
        <v>44648</v>
      </c>
      <c r="C43" s="102" t="s">
        <v>126</v>
      </c>
      <c r="D43" s="100">
        <v>-645.72</v>
      </c>
      <c r="E43" s="32" t="s">
        <v>81</v>
      </c>
    </row>
    <row r="44" spans="1:5" ht="51.75" x14ac:dyDescent="0.35">
      <c r="A44" s="97">
        <v>10100</v>
      </c>
      <c r="B44" s="98">
        <v>44648</v>
      </c>
      <c r="C44" s="99" t="s">
        <v>126</v>
      </c>
      <c r="D44" s="100">
        <v>-645.73</v>
      </c>
      <c r="E44" s="32" t="s">
        <v>81</v>
      </c>
    </row>
    <row r="45" spans="1:5" ht="34.5" x14ac:dyDescent="0.35">
      <c r="A45" s="97">
        <v>14000</v>
      </c>
      <c r="B45" s="101">
        <v>44648</v>
      </c>
      <c r="C45" s="102" t="s">
        <v>80</v>
      </c>
      <c r="D45" s="100">
        <v>-332.89</v>
      </c>
      <c r="E45" s="32" t="s">
        <v>127</v>
      </c>
    </row>
    <row r="46" spans="1:5" ht="51.75" x14ac:dyDescent="0.35">
      <c r="A46" s="97">
        <v>10000</v>
      </c>
      <c r="B46" s="98">
        <v>44637</v>
      </c>
      <c r="C46" s="99" t="s">
        <v>76</v>
      </c>
      <c r="D46" s="100">
        <v>115.28</v>
      </c>
      <c r="E46" s="32" t="s">
        <v>128</v>
      </c>
    </row>
    <row r="47" spans="1:5" ht="51.75" x14ac:dyDescent="0.35">
      <c r="A47" s="97">
        <v>10000</v>
      </c>
      <c r="B47" s="101">
        <v>44644</v>
      </c>
      <c r="C47" s="102" t="s">
        <v>76</v>
      </c>
      <c r="D47" s="100">
        <v>916.07</v>
      </c>
      <c r="E47" s="32" t="s">
        <v>128</v>
      </c>
    </row>
    <row r="48" spans="1:5" ht="34.5" x14ac:dyDescent="0.35">
      <c r="A48" s="97">
        <v>10100</v>
      </c>
      <c r="B48" s="98">
        <v>44635</v>
      </c>
      <c r="C48" s="99" t="s">
        <v>82</v>
      </c>
      <c r="D48" s="100">
        <v>-37</v>
      </c>
      <c r="E48" s="32" t="s">
        <v>129</v>
      </c>
    </row>
    <row r="49" spans="1:5" ht="34.5" x14ac:dyDescent="0.35">
      <c r="A49" s="97">
        <v>14000</v>
      </c>
      <c r="B49" s="101">
        <v>44667</v>
      </c>
      <c r="C49" s="102" t="s">
        <v>72</v>
      </c>
      <c r="D49" s="100">
        <v>-200.69</v>
      </c>
      <c r="E49" s="32" t="s">
        <v>130</v>
      </c>
    </row>
    <row r="50" spans="1:5" ht="51.75" x14ac:dyDescent="0.35">
      <c r="A50" s="97">
        <v>10300</v>
      </c>
      <c r="B50" s="98">
        <v>44667</v>
      </c>
      <c r="C50" s="99" t="s">
        <v>72</v>
      </c>
      <c r="D50" s="100">
        <v>-172.14</v>
      </c>
      <c r="E50" s="32" t="s">
        <v>81</v>
      </c>
    </row>
    <row r="51" spans="1:5" ht="34.5" x14ac:dyDescent="0.35">
      <c r="A51" s="97">
        <v>14000</v>
      </c>
      <c r="B51" s="101">
        <v>44667</v>
      </c>
      <c r="C51" s="102" t="s">
        <v>72</v>
      </c>
      <c r="D51" s="100">
        <v>-560.44000000000005</v>
      </c>
      <c r="E51" s="32" t="s">
        <v>131</v>
      </c>
    </row>
    <row r="52" spans="1:5" ht="34.5" x14ac:dyDescent="0.35">
      <c r="A52" s="97">
        <v>14000</v>
      </c>
      <c r="B52" s="98">
        <v>44667</v>
      </c>
      <c r="C52" s="99" t="s">
        <v>73</v>
      </c>
      <c r="D52" s="100">
        <v>-49.6</v>
      </c>
      <c r="E52" s="32" t="s">
        <v>89</v>
      </c>
    </row>
    <row r="53" spans="1:5" ht="34.5" x14ac:dyDescent="0.35">
      <c r="A53" s="97">
        <v>14000</v>
      </c>
      <c r="B53" s="101">
        <v>44667</v>
      </c>
      <c r="C53" s="102" t="s">
        <v>73</v>
      </c>
      <c r="D53" s="100">
        <v>-125.59</v>
      </c>
      <c r="E53" s="32" t="s">
        <v>132</v>
      </c>
    </row>
    <row r="54" spans="1:5" ht="51.75" x14ac:dyDescent="0.35">
      <c r="A54" s="97">
        <v>10300</v>
      </c>
      <c r="B54" s="98">
        <v>44667</v>
      </c>
      <c r="C54" s="103" t="s">
        <v>73</v>
      </c>
      <c r="D54" s="104">
        <v>-275.18</v>
      </c>
      <c r="E54" s="103" t="s">
        <v>81</v>
      </c>
    </row>
    <row r="55" spans="1:5" ht="34.5" x14ac:dyDescent="0.35">
      <c r="A55" s="97">
        <v>14000</v>
      </c>
      <c r="B55" s="101">
        <v>44667</v>
      </c>
      <c r="C55" s="102" t="s">
        <v>133</v>
      </c>
      <c r="D55" s="100">
        <v>-100.35</v>
      </c>
      <c r="E55" s="32" t="s">
        <v>130</v>
      </c>
    </row>
    <row r="56" spans="1:5" ht="34.5" x14ac:dyDescent="0.35">
      <c r="A56" s="97">
        <v>14000</v>
      </c>
      <c r="B56" s="98">
        <v>44667</v>
      </c>
      <c r="C56" s="99" t="s">
        <v>134</v>
      </c>
      <c r="D56" s="100">
        <v>-99.33</v>
      </c>
      <c r="E56" s="32" t="s">
        <v>98</v>
      </c>
    </row>
    <row r="57" spans="1:5" ht="34.5" x14ac:dyDescent="0.35">
      <c r="A57" s="97">
        <v>14000</v>
      </c>
      <c r="B57" s="101">
        <v>44668</v>
      </c>
      <c r="C57" s="102" t="s">
        <v>74</v>
      </c>
      <c r="D57" s="100">
        <v>-96.87</v>
      </c>
      <c r="E57" s="32" t="s">
        <v>98</v>
      </c>
    </row>
    <row r="58" spans="1:5" ht="51.75" x14ac:dyDescent="0.35">
      <c r="A58" s="97">
        <v>10300</v>
      </c>
      <c r="B58" s="98">
        <v>44672</v>
      </c>
      <c r="C58" s="99" t="s">
        <v>135</v>
      </c>
      <c r="D58" s="100">
        <v>-1152.9000000000001</v>
      </c>
      <c r="E58" s="32" t="s">
        <v>136</v>
      </c>
    </row>
    <row r="59" spans="1:5" ht="51.75" x14ac:dyDescent="0.35">
      <c r="A59" s="97">
        <v>10300</v>
      </c>
      <c r="B59" s="101">
        <v>44672</v>
      </c>
      <c r="C59" s="102" t="s">
        <v>137</v>
      </c>
      <c r="D59" s="100">
        <v>-423</v>
      </c>
      <c r="E59" s="32" t="s">
        <v>138</v>
      </c>
    </row>
    <row r="60" spans="1:5" ht="103.5" x14ac:dyDescent="0.35">
      <c r="A60" s="97">
        <v>10300</v>
      </c>
      <c r="B60" s="98">
        <v>44672</v>
      </c>
      <c r="C60" s="99" t="s">
        <v>139</v>
      </c>
      <c r="D60" s="100">
        <v>-100</v>
      </c>
      <c r="E60" s="32" t="s">
        <v>140</v>
      </c>
    </row>
    <row r="61" spans="1:5" ht="34.5" x14ac:dyDescent="0.35">
      <c r="A61" s="97">
        <v>10300</v>
      </c>
      <c r="B61" s="101">
        <v>44672</v>
      </c>
      <c r="C61" s="102" t="s">
        <v>87</v>
      </c>
      <c r="D61" s="100">
        <v>-135</v>
      </c>
      <c r="E61" s="32" t="s">
        <v>141</v>
      </c>
    </row>
    <row r="62" spans="1:5" ht="51.75" x14ac:dyDescent="0.35">
      <c r="A62" s="97">
        <v>10300</v>
      </c>
      <c r="B62" s="98">
        <v>44675</v>
      </c>
      <c r="C62" s="99" t="s">
        <v>126</v>
      </c>
      <c r="D62" s="100">
        <v>-48.75</v>
      </c>
      <c r="E62" s="32" t="s">
        <v>142</v>
      </c>
    </row>
    <row r="63" spans="1:5" ht="34.5" x14ac:dyDescent="0.35">
      <c r="A63" s="97">
        <v>10300</v>
      </c>
      <c r="B63" s="101">
        <v>44675</v>
      </c>
      <c r="C63" s="102" t="s">
        <v>133</v>
      </c>
      <c r="D63" s="100">
        <v>-372.23</v>
      </c>
      <c r="E63" s="32" t="s">
        <v>143</v>
      </c>
    </row>
    <row r="64" spans="1:5" ht="34.5" x14ac:dyDescent="0.35">
      <c r="A64" s="97">
        <v>10200</v>
      </c>
      <c r="B64" s="98">
        <v>44679</v>
      </c>
      <c r="C64" s="99" t="s">
        <v>83</v>
      </c>
      <c r="D64" s="100">
        <v>2547</v>
      </c>
      <c r="E64" s="32" t="s">
        <v>144</v>
      </c>
    </row>
    <row r="65" spans="1:5" ht="51.75" x14ac:dyDescent="0.35">
      <c r="A65" s="97">
        <v>16000</v>
      </c>
      <c r="B65" s="101">
        <v>44679</v>
      </c>
      <c r="C65" s="102" t="s">
        <v>145</v>
      </c>
      <c r="D65" s="100">
        <v>20</v>
      </c>
      <c r="E65" s="32" t="s">
        <v>146</v>
      </c>
    </row>
    <row r="66" spans="1:5" ht="34.5" x14ac:dyDescent="0.35">
      <c r="A66" s="97">
        <v>10300</v>
      </c>
      <c r="B66" s="98">
        <v>44679</v>
      </c>
      <c r="C66" s="99" t="s">
        <v>74</v>
      </c>
      <c r="D66" s="100">
        <v>-51.21</v>
      </c>
      <c r="E66" s="32" t="s">
        <v>147</v>
      </c>
    </row>
    <row r="67" spans="1:5" x14ac:dyDescent="0.35">
      <c r="A67" s="97">
        <v>14000</v>
      </c>
      <c r="B67" s="101">
        <v>44679</v>
      </c>
      <c r="C67" s="102" t="s">
        <v>74</v>
      </c>
      <c r="D67" s="100">
        <v>-86.32</v>
      </c>
      <c r="E67" s="32" t="s">
        <v>148</v>
      </c>
    </row>
    <row r="68" spans="1:5" ht="34.5" x14ac:dyDescent="0.35">
      <c r="A68" s="97">
        <v>14000</v>
      </c>
      <c r="B68" s="98">
        <v>44679</v>
      </c>
      <c r="C68" s="99" t="s">
        <v>149</v>
      </c>
      <c r="D68" s="100">
        <v>-100</v>
      </c>
      <c r="E68" s="32" t="s">
        <v>98</v>
      </c>
    </row>
    <row r="69" spans="1:5" ht="34.5" x14ac:dyDescent="0.35">
      <c r="A69" s="97">
        <v>14000</v>
      </c>
      <c r="B69" s="101">
        <v>44679</v>
      </c>
      <c r="C69" s="102" t="s">
        <v>150</v>
      </c>
      <c r="D69" s="100">
        <v>-100</v>
      </c>
      <c r="E69" s="32" t="s">
        <v>98</v>
      </c>
    </row>
    <row r="70" spans="1:5" ht="34.5" x14ac:dyDescent="0.35">
      <c r="A70" s="97">
        <v>14000</v>
      </c>
      <c r="B70" s="98">
        <v>44679</v>
      </c>
      <c r="C70" s="99" t="s">
        <v>151</v>
      </c>
      <c r="D70" s="100">
        <v>-100</v>
      </c>
      <c r="E70" s="32" t="s">
        <v>98</v>
      </c>
    </row>
    <row r="71" spans="1:5" ht="34.5" x14ac:dyDescent="0.35">
      <c r="A71" s="97">
        <v>12600</v>
      </c>
      <c r="B71" s="101">
        <v>44665</v>
      </c>
      <c r="C71" s="102" t="s">
        <v>152</v>
      </c>
      <c r="D71" s="100">
        <v>8.24</v>
      </c>
      <c r="E71" s="32" t="s">
        <v>153</v>
      </c>
    </row>
    <row r="72" spans="1:5" ht="34.5" x14ac:dyDescent="0.35">
      <c r="A72" s="97">
        <v>10200</v>
      </c>
      <c r="B72" s="98">
        <v>44665</v>
      </c>
      <c r="C72" s="99" t="s">
        <v>82</v>
      </c>
      <c r="D72" s="100">
        <v>18.96</v>
      </c>
      <c r="E72" s="32" t="s">
        <v>154</v>
      </c>
    </row>
    <row r="73" spans="1:5" ht="34.5" x14ac:dyDescent="0.35">
      <c r="A73" s="97">
        <v>10200</v>
      </c>
      <c r="B73" s="101">
        <v>44672</v>
      </c>
      <c r="C73" s="102" t="s">
        <v>82</v>
      </c>
      <c r="D73" s="100">
        <v>587.4</v>
      </c>
      <c r="E73" s="32" t="s">
        <v>154</v>
      </c>
    </row>
    <row r="74" spans="1:5" ht="34.5" x14ac:dyDescent="0.35">
      <c r="A74" s="97">
        <v>10200</v>
      </c>
      <c r="B74" s="98">
        <v>44679</v>
      </c>
      <c r="C74" s="99" t="s">
        <v>82</v>
      </c>
      <c r="D74" s="100">
        <v>700.74</v>
      </c>
      <c r="E74" s="32" t="s">
        <v>154</v>
      </c>
    </row>
    <row r="75" spans="1:5" ht="69" x14ac:dyDescent="0.35">
      <c r="A75" s="97">
        <v>10200</v>
      </c>
      <c r="B75" s="101">
        <v>44686</v>
      </c>
      <c r="C75" s="102" t="s">
        <v>135</v>
      </c>
      <c r="D75" s="100">
        <v>80.06</v>
      </c>
      <c r="E75" s="32" t="s">
        <v>155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F2F2F"/>
    <pageSetUpPr fitToPage="1"/>
  </sheetPr>
  <dimension ref="B1:L6"/>
  <sheetViews>
    <sheetView showGridLines="0" topLeftCell="A4" workbookViewId="0"/>
  </sheetViews>
  <sheetFormatPr defaultColWidth="8.875" defaultRowHeight="30" customHeight="1" x14ac:dyDescent="0.35"/>
  <cols>
    <col min="1" max="1" width="2.625" customWidth="1"/>
    <col min="2" max="2" width="12.375" customWidth="1"/>
    <col min="3" max="3" width="18.125" customWidth="1"/>
    <col min="4" max="4" width="28.625" customWidth="1"/>
    <col min="5" max="5" width="17.375" customWidth="1"/>
    <col min="6" max="6" width="17.5" customWidth="1"/>
    <col min="7" max="7" width="27" customWidth="1"/>
    <col min="8" max="8" width="16.5" customWidth="1"/>
    <col min="9" max="9" width="21.625" customWidth="1"/>
    <col min="10" max="10" width="15.5" customWidth="1"/>
    <col min="11" max="11" width="15.375" customWidth="1"/>
    <col min="12" max="12" width="11.625" customWidth="1"/>
  </cols>
  <sheetData>
    <row r="1" spans="2:12" ht="42.6" customHeight="1" x14ac:dyDescent="0.35">
      <c r="B1" s="67"/>
      <c r="C1" s="1"/>
    </row>
    <row r="2" spans="2:12" ht="87" customHeight="1" x14ac:dyDescent="0.35">
      <c r="B2" s="132" t="s">
        <v>42</v>
      </c>
      <c r="C2" s="132"/>
      <c r="D2" s="132"/>
      <c r="E2" s="132"/>
      <c r="F2" s="132"/>
      <c r="G2" s="132"/>
      <c r="H2" s="132"/>
      <c r="I2" s="132"/>
      <c r="J2" s="132"/>
      <c r="K2" s="132"/>
      <c r="L2" s="132"/>
    </row>
    <row r="3" spans="2:12" ht="75" customHeight="1" x14ac:dyDescent="0.35">
      <c r="B3" s="129"/>
      <c r="C3" s="129"/>
      <c r="D3" s="129"/>
      <c r="E3" s="129"/>
      <c r="F3" s="129"/>
      <c r="G3" s="131"/>
      <c r="H3" s="131"/>
      <c r="I3" s="131"/>
      <c r="J3" s="131"/>
      <c r="K3" s="131"/>
      <c r="L3" s="131"/>
    </row>
    <row r="4" spans="2:12" ht="46.35" customHeight="1" x14ac:dyDescent="0.35">
      <c r="B4" s="56" t="s">
        <v>0</v>
      </c>
      <c r="C4" s="57" t="s">
        <v>12</v>
      </c>
      <c r="D4" s="57" t="s">
        <v>7</v>
      </c>
      <c r="E4" s="57" t="s">
        <v>8</v>
      </c>
      <c r="F4" s="57" t="s">
        <v>13</v>
      </c>
      <c r="G4" s="57" t="s">
        <v>9</v>
      </c>
      <c r="H4" s="57" t="s">
        <v>14</v>
      </c>
      <c r="I4" s="57" t="s">
        <v>15</v>
      </c>
      <c r="J4" s="57" t="s">
        <v>16</v>
      </c>
      <c r="K4" s="57" t="s">
        <v>10</v>
      </c>
      <c r="L4" s="58" t="s">
        <v>11</v>
      </c>
    </row>
    <row r="5" spans="2:12" ht="46.35" customHeight="1" x14ac:dyDescent="0.35">
      <c r="B5" s="33">
        <v>12000</v>
      </c>
      <c r="C5" s="34" t="s">
        <v>40</v>
      </c>
      <c r="D5" s="35" t="s">
        <v>17</v>
      </c>
      <c r="E5" s="36">
        <v>1000</v>
      </c>
      <c r="F5" s="37">
        <v>12</v>
      </c>
      <c r="G5" s="35" t="s">
        <v>18</v>
      </c>
      <c r="H5" s="35" t="s">
        <v>19</v>
      </c>
      <c r="I5" s="35" t="s">
        <v>20</v>
      </c>
      <c r="J5" s="35" t="s">
        <v>21</v>
      </c>
      <c r="K5" s="35" t="s">
        <v>22</v>
      </c>
      <c r="L5" s="34" t="s">
        <v>40</v>
      </c>
    </row>
    <row r="6" spans="2:12" ht="46.35" customHeight="1" x14ac:dyDescent="0.35">
      <c r="B6" s="38">
        <v>11000</v>
      </c>
      <c r="C6" s="39" t="s">
        <v>40</v>
      </c>
      <c r="D6" s="40" t="s">
        <v>17</v>
      </c>
      <c r="E6" s="41">
        <v>2500</v>
      </c>
      <c r="F6" s="41">
        <v>0</v>
      </c>
      <c r="G6" s="40" t="s">
        <v>23</v>
      </c>
      <c r="H6" s="40" t="s">
        <v>24</v>
      </c>
      <c r="I6" s="40" t="s">
        <v>25</v>
      </c>
      <c r="J6" s="40" t="s">
        <v>24</v>
      </c>
      <c r="K6" s="40" t="s">
        <v>22</v>
      </c>
      <c r="L6" s="39" t="s">
        <v>40</v>
      </c>
    </row>
  </sheetData>
  <mergeCells count="3">
    <mergeCell ref="B3:F3"/>
    <mergeCell ref="G3:L3"/>
    <mergeCell ref="B2:L2"/>
  </mergeCells>
  <dataValidations count="14">
    <dataValidation allowBlank="1" showInputMessage="1" showErrorMessage="1" prompt="Create a list of Charitable &amp; Sponsorships in this worksheet. Enter details in table starting in cell B4 (&quot;Other&quot; table). Select cell B1 to navigate to Itemized Expenses worksheet" sqref="A1" xr:uid="{00000000-0002-0000-0300-000000000000}"/>
    <dataValidation allowBlank="1" showInputMessage="1" showErrorMessage="1" prompt="Enter General Ledger code in this column under this heading" sqref="B4" xr:uid="{00000000-0002-0000-0300-000001000000}"/>
    <dataValidation allowBlank="1" showInputMessage="1" showErrorMessage="1" prompt="Enter Date when Check Request was Initiated in this column under this heading" sqref="C4" xr:uid="{00000000-0002-0000-0300-000002000000}"/>
    <dataValidation allowBlank="1" showInputMessage="1" showErrorMessage="1" prompt="Enter Requested by name in this column under this heading" sqref="D4" xr:uid="{00000000-0002-0000-0300-000003000000}"/>
    <dataValidation allowBlank="1" showInputMessage="1" showErrorMessage="1" prompt="Enter Check Amount in this column under this heading" sqref="E4" xr:uid="{00000000-0002-0000-0300-000004000000}"/>
    <dataValidation allowBlank="1" showInputMessage="1" showErrorMessage="1" prompt="Enter Previous Year Contribution in this column under this heading" sqref="F4" xr:uid="{00000000-0002-0000-0300-000005000000}"/>
    <dataValidation allowBlank="1" showInputMessage="1" showErrorMessage="1" prompt="Enter Payee name in this column under this heading" sqref="G4" xr:uid="{00000000-0002-0000-0300-000006000000}"/>
    <dataValidation allowBlank="1" showInputMessage="1" showErrorMessage="1" prompt="Enter Used for purpose in this column under this heading" sqref="H4" xr:uid="{00000000-0002-0000-0300-000007000000}"/>
    <dataValidation allowBlank="1" showInputMessage="1" showErrorMessage="1" prompt="Enter Signed Off by person name in this column under this heading" sqref="I4" xr:uid="{00000000-0002-0000-0300-000008000000}"/>
    <dataValidation allowBlank="1" showInputMessage="1" showErrorMessage="1" prompt="Enter Category in this column under this heading" sqref="J4" xr:uid="{00000000-0002-0000-0300-000009000000}"/>
    <dataValidation allowBlank="1" showInputMessage="1" showErrorMessage="1" prompt="Enter Method of Distribution in this column under this heading" sqref="K4" xr:uid="{00000000-0002-0000-0300-00000A000000}"/>
    <dataValidation allowBlank="1" showInputMessage="1" showErrorMessage="1" prompt="Enter File Date in this column under this heading" sqref="L4" xr:uid="{00000000-0002-0000-0300-00000B000000}"/>
    <dataValidation allowBlank="1" showInputMessage="1" showErrorMessage="1" prompt="Navigation link. Select to go to ITEMIZED EXPENSES worksheet" sqref="B1" xr:uid="{00000000-0002-0000-0300-00000C000000}"/>
    <dataValidation allowBlank="1" showInputMessage="1" showErrorMessage="1" prompt="Title of this worksheet is in this cell. Slicer to filter table by Requested by is in cell B3 and a slicer to filter table by Payee is in cell G3" sqref="B2:L2" xr:uid="{00000000-0002-0000-0300-00000D000000}"/>
  </dataValidations>
  <printOptions horizontalCentered="1"/>
  <pageMargins left="0.4" right="0.4" top="0.4" bottom="0.6" header="0.3" footer="0.3"/>
  <pageSetup scale="62"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2660FD-A6B3-4441-8825-A88131616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021212-2B75-4DAF-B3AE-C5D323BF8A8E}">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39908DF8-4EEB-4B57-B8FE-D7BF175A1C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TM04068895</Template>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YTD BUDGET SUMMARY</vt:lpstr>
      <vt:lpstr>MONTHLY EXPENSES SUMMARY</vt:lpstr>
      <vt:lpstr>ITEMIZED Transactions</vt:lpstr>
      <vt:lpstr>Sheet2</vt:lpstr>
      <vt:lpstr>Sheet1</vt:lpstr>
      <vt:lpstr>CHARITABLES &amp; SPONSORSHIPS</vt:lpstr>
      <vt:lpstr>_YEAR</vt:lpstr>
      <vt:lpstr>'CHARITABLES &amp; SPONSORSHIPS'!Print_Titles</vt:lpstr>
      <vt:lpstr>'ITEMIZED Transactions'!Print_Titles</vt:lpstr>
      <vt:lpstr>'MONTHLY EXPENSES SUMMARY'!Print_Titles</vt:lpstr>
      <vt:lpstr>'YTD BUDGET SUMMARY'!Print_Titles</vt:lpstr>
      <vt:lpstr>RowTitleRegion1..G2</vt:lpstr>
      <vt:lpstr>Title1</vt:lpstr>
      <vt:lpstr>Title2</vt:lpstr>
      <vt:lpstr>Title3</vt:lpstr>
      <vt:lpstr>Title4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2019-06-20T10:50:09Z</dcterms:created>
  <dcterms:modified xsi:type="dcterms:W3CDTF">2023-09-01T15:37:17Z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